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you\Desktop\海外投資廠商\海外投資廠商\"/>
    </mc:Choice>
  </mc:AlternateContent>
  <xr:revisionPtr revIDLastSave="0" documentId="13_ncr:1_{CC470713-AB04-44A6-AF67-1A560CA88CA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各年度依時間序列" sheetId="6" r:id="rId1"/>
    <sheet name="112年" sheetId="17" r:id="rId2"/>
    <sheet name="111年" sheetId="18" r:id="rId3"/>
    <sheet name="110年" sheetId="16" r:id="rId4"/>
    <sheet name="109年" sheetId="14" r:id="rId5"/>
    <sheet name="108年 " sheetId="13" r:id="rId6"/>
    <sheet name="107年" sheetId="12" r:id="rId7"/>
    <sheet name="106年" sheetId="11" r:id="rId8"/>
    <sheet name="105年" sheetId="10" r:id="rId9"/>
    <sheet name="104年" sheetId="9" r:id="rId10"/>
    <sheet name="103年" sheetId="8" r:id="rId11"/>
    <sheet name="101年" sheetId="5" r:id="rId12"/>
    <sheet name="100年" sheetId="4" r:id="rId13"/>
    <sheet name="99年" sheetId="1" r:id="rId14"/>
  </sheets>
  <definedNames>
    <definedName name="_Toc280858573" localSheetId="12">'100年'!$A$1</definedName>
    <definedName name="_Toc280858573" localSheetId="13">'99年'!$A$1</definedName>
    <definedName name="_xlnm.Print_Area" localSheetId="12">'100年'!$A$1:$C$26</definedName>
    <definedName name="_xlnm.Print_Area" localSheetId="13">'99年'!$A$1:$C$26</definedName>
    <definedName name="_xlnm.Print_Area" localSheetId="0">各年度依時間序列!$A$1:$Z$37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6" l="1"/>
  <c r="B25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6" i="6" s="1"/>
  <c r="B8" i="6"/>
  <c r="B7" i="6"/>
  <c r="B6" i="18"/>
  <c r="B24" i="17" l="1"/>
  <c r="B6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24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D15" i="6"/>
  <c r="D25" i="6"/>
  <c r="D23" i="6"/>
  <c r="D22" i="6"/>
  <c r="D21" i="6"/>
  <c r="D20" i="6"/>
  <c r="D19" i="6"/>
  <c r="D18" i="6"/>
  <c r="D17" i="6"/>
  <c r="D16" i="6"/>
  <c r="D14" i="6"/>
  <c r="D13" i="6"/>
  <c r="D12" i="6"/>
  <c r="D11" i="6"/>
  <c r="D10" i="6"/>
  <c r="D9" i="6"/>
  <c r="D8" i="6"/>
  <c r="D7" i="6"/>
  <c r="F25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B5" i="16"/>
  <c r="B24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H7" i="6"/>
  <c r="J7" i="6"/>
  <c r="H8" i="6"/>
  <c r="J8" i="6"/>
  <c r="H9" i="6"/>
  <c r="J9" i="6"/>
  <c r="H10" i="6"/>
  <c r="H11" i="6"/>
  <c r="J11" i="6"/>
  <c r="H12" i="6"/>
  <c r="J12" i="6"/>
  <c r="H13" i="6"/>
  <c r="H14" i="6"/>
  <c r="H15" i="6"/>
  <c r="J15" i="6"/>
  <c r="H16" i="6"/>
  <c r="H17" i="6"/>
  <c r="H18" i="6"/>
  <c r="H19" i="6"/>
  <c r="H20" i="6"/>
  <c r="H21" i="6"/>
  <c r="H22" i="6"/>
  <c r="H23" i="6"/>
  <c r="H25" i="6"/>
  <c r="B24" i="14"/>
  <c r="B14" i="13"/>
  <c r="B11" i="13"/>
  <c r="B10" i="13"/>
  <c r="B9" i="13"/>
  <c r="B8" i="13"/>
  <c r="B7" i="13"/>
  <c r="B6" i="13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8" l="1"/>
  <c r="D6" i="6"/>
  <c r="B5" i="17"/>
  <c r="F6" i="6"/>
  <c r="H6" i="6"/>
  <c r="B5" i="14"/>
</calcChain>
</file>

<file path=xl/sharedStrings.xml><?xml version="1.0" encoding="utf-8"?>
<sst xmlns="http://schemas.openxmlformats.org/spreadsheetml/2006/main" count="441" uniqueCount="82">
  <si>
    <t>-</t>
  </si>
  <si>
    <r>
      <t>"</t>
    </r>
    <r>
      <rPr>
        <b/>
        <sz val="14"/>
        <rFont val="標楷體"/>
        <family val="4"/>
        <charset val="136"/>
      </rPr>
      <t xml:space="preserve">海外投資事業國內員工之性別指數
</t>
    </r>
    <r>
      <rPr>
        <b/>
        <sz val="14"/>
        <rFont val="Arial"/>
        <family val="2"/>
      </rPr>
      <t xml:space="preserve">The Percentage of Male employees in Overseas enterprise "      
</t>
    </r>
    <phoneticPr fontId="2" type="noConversion"/>
  </si>
  <si>
    <r>
      <t>101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2012</t>
    </r>
    <phoneticPr fontId="2" type="noConversion"/>
  </si>
  <si>
    <r>
      <t>99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2010</t>
    </r>
    <phoneticPr fontId="2" type="noConversion"/>
  </si>
  <si>
    <r>
      <rPr>
        <sz val="12"/>
        <rFont val="標楷體"/>
        <family val="4"/>
        <charset val="136"/>
      </rPr>
      <t xml:space="preserve">家數
</t>
    </r>
    <r>
      <rPr>
        <sz val="12"/>
        <rFont val="Arial"/>
        <family val="2"/>
      </rPr>
      <t>case</t>
    </r>
    <phoneticPr fontId="2" type="noConversion"/>
  </si>
  <si>
    <r>
      <rPr>
        <sz val="12"/>
        <rFont val="標楷體"/>
        <family val="4"/>
        <charset val="136"/>
      </rPr>
      <t>性別指數</t>
    </r>
    <r>
      <rPr>
        <sz val="12"/>
        <rFont val="Arial"/>
        <family val="2"/>
      </rPr>
      <t>(%)
Percentage of Male(%)</t>
    </r>
    <phoneticPr fontId="2" type="noConversion"/>
  </si>
  <si>
    <r>
      <rPr>
        <b/>
        <sz val="12"/>
        <rFont val="標楷體"/>
        <family val="4"/>
        <charset val="136"/>
      </rPr>
      <t>合計</t>
    </r>
    <r>
      <rPr>
        <b/>
        <sz val="12"/>
        <rFont val="Arial"/>
        <family val="2"/>
      </rPr>
      <t>Total</t>
    </r>
  </si>
  <si>
    <r>
      <rPr>
        <sz val="12"/>
        <rFont val="標楷體"/>
        <family val="4"/>
        <charset val="136"/>
      </rPr>
      <t>木竹及紙製品印刷業</t>
    </r>
    <r>
      <rPr>
        <sz val="12"/>
        <rFont val="Arial"/>
        <family val="2"/>
      </rPr>
      <t>Manufacture of Wood and paper Products</t>
    </r>
  </si>
  <si>
    <r>
      <rPr>
        <sz val="12"/>
        <rFont val="標楷體"/>
        <family val="4"/>
        <charset val="136"/>
      </rPr>
      <t>運輸工具製造業</t>
    </r>
    <r>
      <rPr>
        <sz val="12"/>
        <rFont val="Arial"/>
        <family val="2"/>
      </rPr>
      <t>Manufacture of Transport Equipment and Parts</t>
    </r>
  </si>
  <si>
    <r>
      <rPr>
        <sz val="12"/>
        <rFont val="標楷體"/>
        <family val="4"/>
        <charset val="136"/>
      </rPr>
      <t>橡膠及塑膠製造業</t>
    </r>
    <r>
      <rPr>
        <sz val="12"/>
        <rFont val="Arial"/>
        <family val="2"/>
      </rPr>
      <t>Manufacture of Plastic and Rubber Material</t>
    </r>
  </si>
  <si>
    <r>
      <rPr>
        <sz val="12"/>
        <rFont val="標楷體"/>
        <family val="4"/>
        <charset val="136"/>
      </rPr>
      <t>石油化學製造業</t>
    </r>
    <r>
      <rPr>
        <sz val="12"/>
        <rFont val="Arial"/>
        <family val="2"/>
      </rPr>
      <t>Manufacture of Petrochemicals</t>
    </r>
  </si>
  <si>
    <r>
      <rPr>
        <sz val="12"/>
        <rFont val="標楷體"/>
        <family val="4"/>
        <charset val="136"/>
      </rPr>
      <t>電力與機械設備製造業</t>
    </r>
    <r>
      <rPr>
        <sz val="12"/>
        <rFont val="Arial"/>
        <family val="2"/>
      </rPr>
      <t>Manufacture of Electrical Equipment and Machinery</t>
    </r>
  </si>
  <si>
    <r>
      <rPr>
        <sz val="12"/>
        <rFont val="標楷體"/>
        <family val="4"/>
        <charset val="136"/>
      </rPr>
      <t>其它服務業</t>
    </r>
    <r>
      <rPr>
        <sz val="12"/>
        <rFont val="Arial"/>
        <family val="2"/>
      </rPr>
      <t>Other Service Activities</t>
    </r>
    <phoneticPr fontId="2" type="noConversion"/>
  </si>
  <si>
    <r>
      <rPr>
        <sz val="12"/>
        <rFont val="標楷體"/>
        <family val="4"/>
        <charset val="136"/>
      </rPr>
      <t>非金屬礦物製品製造業</t>
    </r>
    <r>
      <rPr>
        <sz val="12"/>
        <rFont val="Arial"/>
        <family val="2"/>
      </rPr>
      <t>Manufacture of Non-metallic Mineral Products</t>
    </r>
  </si>
  <si>
    <r>
      <rPr>
        <sz val="12"/>
        <rFont val="標楷體"/>
        <family val="4"/>
        <charset val="136"/>
      </rPr>
      <t>資訊及通訊傳播業</t>
    </r>
    <r>
      <rPr>
        <sz val="12"/>
        <rFont val="Arial"/>
        <family val="2"/>
      </rPr>
      <t>Information and Communication</t>
    </r>
  </si>
  <si>
    <r>
      <rPr>
        <sz val="12"/>
        <rFont val="標楷體"/>
        <family val="4"/>
        <charset val="136"/>
      </rPr>
      <t>食品飲料菸草製造業</t>
    </r>
    <r>
      <rPr>
        <sz val="12"/>
        <rFont val="Arial"/>
        <family val="2"/>
      </rPr>
      <t>Manufacture of Food , Beverages and Tobacco Products</t>
    </r>
  </si>
  <si>
    <r>
      <rPr>
        <sz val="12"/>
        <rFont val="標楷體"/>
        <family val="4"/>
        <charset val="136"/>
      </rPr>
      <t xml:space="preserve">電腦、電子產品及光學製品製造業
</t>
    </r>
    <r>
      <rPr>
        <sz val="12"/>
        <rFont val="Arial"/>
        <family val="2"/>
      </rPr>
      <t xml:space="preserve">Manufacture of Computers, Electronic and Optical Products </t>
    </r>
    <phoneticPr fontId="2" type="noConversion"/>
  </si>
  <si>
    <r>
      <rPr>
        <sz val="12"/>
        <rFont val="標楷體"/>
        <family val="4"/>
        <charset val="136"/>
      </rPr>
      <t>其它製造業</t>
    </r>
    <r>
      <rPr>
        <sz val="12"/>
        <rFont val="Arial"/>
        <family val="2"/>
      </rPr>
      <t>Other Manufacturing</t>
    </r>
  </si>
  <si>
    <r>
      <rPr>
        <sz val="12"/>
        <rFont val="標楷體"/>
        <family val="4"/>
        <charset val="136"/>
      </rPr>
      <t>藥品製造業</t>
    </r>
    <r>
      <rPr>
        <sz val="12"/>
        <rFont val="Arial"/>
        <family val="2"/>
      </rPr>
      <t>Manufacture of Pharmaceuticals and Medicinal Chemical Products</t>
    </r>
  </si>
  <si>
    <r>
      <rPr>
        <sz val="12"/>
        <rFont val="標楷體"/>
        <family val="4"/>
        <charset val="136"/>
      </rPr>
      <t>電子零組件製造業</t>
    </r>
    <r>
      <rPr>
        <sz val="12"/>
        <rFont val="Arial"/>
        <family val="2"/>
      </rPr>
      <t>Manufacture of Electronic Parts and Components</t>
    </r>
  </si>
  <si>
    <r>
      <rPr>
        <sz val="12"/>
        <rFont val="標楷體"/>
        <family val="4"/>
        <charset val="136"/>
      </rPr>
      <t>批發及零售業</t>
    </r>
    <r>
      <rPr>
        <sz val="12"/>
        <rFont val="Arial"/>
        <family val="2"/>
      </rPr>
      <t>Wholesale and Retail Trade</t>
    </r>
  </si>
  <si>
    <r>
      <rPr>
        <sz val="12"/>
        <rFont val="標楷體"/>
        <family val="4"/>
        <charset val="136"/>
      </rPr>
      <t>紡織品、成衣及皮革製品</t>
    </r>
    <r>
      <rPr>
        <sz val="12"/>
        <rFont val="Arial"/>
        <family val="2"/>
      </rPr>
      <t>Manufacture of Textile ,Clothing, Fur and Related Products</t>
    </r>
  </si>
  <si>
    <r>
      <rPr>
        <sz val="12"/>
        <rFont val="標楷體"/>
        <family val="4"/>
        <charset val="136"/>
      </rPr>
      <t>農林漁牧礦業</t>
    </r>
    <r>
      <rPr>
        <sz val="12"/>
        <rFont val="Arial"/>
        <family val="2"/>
      </rPr>
      <t>Agriculture, Forestry, Fishing ,Animal Husbandry and Mining</t>
    </r>
    <phoneticPr fontId="2" type="noConversion"/>
  </si>
  <si>
    <r>
      <rPr>
        <sz val="12"/>
        <color indexed="8"/>
        <rFont val="標楷體"/>
        <family val="4"/>
        <charset val="136"/>
      </rPr>
      <t>資料來源：投資審議委員會</t>
    </r>
    <r>
      <rPr>
        <sz val="12"/>
        <color indexed="8"/>
        <rFont val="Arial"/>
        <family val="2"/>
      </rPr>
      <t>(Soure: Investment Commission, Ministry of Economic Affairs)</t>
    </r>
    <phoneticPr fontId="2" type="noConversion"/>
  </si>
  <si>
    <r>
      <rPr>
        <sz val="12"/>
        <rFont val="標楷體"/>
        <family val="4"/>
        <charset val="136"/>
      </rPr>
      <t>註：性別數值越高，代表男性員工比重越高；反之，指數越低，女性員工比重越高，而指數接近</t>
    </r>
    <r>
      <rPr>
        <sz val="12"/>
        <rFont val="Arial"/>
        <family val="2"/>
      </rPr>
      <t xml:space="preserve">50 </t>
    </r>
    <r>
      <rPr>
        <sz val="12"/>
        <rFont val="標楷體"/>
        <family val="4"/>
        <charset val="136"/>
      </rPr>
      <t>則代表僱用員工趨於兩性平衡。</t>
    </r>
    <phoneticPr fontId="2" type="noConversion"/>
  </si>
  <si>
    <r>
      <rPr>
        <sz val="12"/>
        <rFont val="標楷體"/>
        <family val="4"/>
        <charset val="136"/>
      </rPr>
      <t>基本金屬與金屬製品</t>
    </r>
    <r>
      <rPr>
        <sz val="12"/>
        <rFont val="Arial"/>
        <family val="2"/>
      </rPr>
      <t>Manufacture of Metal Products</t>
    </r>
    <phoneticPr fontId="2" type="noConversion"/>
  </si>
  <si>
    <r>
      <rPr>
        <sz val="12"/>
        <rFont val="標楷體"/>
        <family val="4"/>
        <charset val="136"/>
      </rPr>
      <t xml:space="preserve">機械維修、電力用水供應及營造業
</t>
    </r>
    <r>
      <rPr>
        <sz val="12"/>
        <rFont val="Arial"/>
        <family val="2"/>
      </rPr>
      <t>Repair and Installation of Industrial Machinery and Equipment; Water and Electricity Supply; Construction</t>
    </r>
    <phoneticPr fontId="2" type="noConversion"/>
  </si>
  <si>
    <r>
      <t>101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2012</t>
    </r>
    <phoneticPr fontId="2" type="noConversion"/>
  </si>
  <si>
    <r>
      <rPr>
        <sz val="10"/>
        <rFont val="標楷體"/>
        <family val="4"/>
        <charset val="136"/>
      </rPr>
      <t>單位</t>
    </r>
    <r>
      <rPr>
        <sz val="10"/>
        <rFont val="Arial"/>
        <family val="2"/>
      </rPr>
      <t xml:space="preserve">: </t>
    </r>
    <r>
      <rPr>
        <sz val="10"/>
        <rFont val="標楷體"/>
        <family val="4"/>
        <charset val="136"/>
      </rPr>
      <t>家數，</t>
    </r>
    <r>
      <rPr>
        <sz val="10"/>
        <rFont val="Arial"/>
        <family val="2"/>
      </rPr>
      <t>%
Unit: case</t>
    </r>
    <r>
      <rPr>
        <sz val="10"/>
        <rFont val="標楷體"/>
        <family val="4"/>
        <charset val="136"/>
      </rPr>
      <t>，</t>
    </r>
    <r>
      <rPr>
        <sz val="10"/>
        <rFont val="Arial"/>
        <family val="2"/>
      </rPr>
      <t>percentage</t>
    </r>
    <phoneticPr fontId="2" type="noConversion"/>
  </si>
  <si>
    <r>
      <rPr>
        <b/>
        <sz val="10"/>
        <rFont val="標楷體"/>
        <family val="4"/>
        <charset val="136"/>
      </rPr>
      <t>合計</t>
    </r>
    <r>
      <rPr>
        <b/>
        <sz val="10"/>
        <rFont val="Arial"/>
        <family val="2"/>
      </rPr>
      <t>Total</t>
    </r>
  </si>
  <si>
    <r>
      <rPr>
        <sz val="10"/>
        <rFont val="標楷體"/>
        <family val="4"/>
        <charset val="136"/>
      </rPr>
      <t>基本金屬與金屬製品</t>
    </r>
    <r>
      <rPr>
        <sz val="10"/>
        <rFont val="Arial"/>
        <family val="2"/>
      </rPr>
      <t>Manufacture of Metal Products</t>
    </r>
  </si>
  <si>
    <r>
      <rPr>
        <sz val="10"/>
        <rFont val="標楷體"/>
        <family val="4"/>
        <charset val="136"/>
      </rPr>
      <t>木竹及紙製品印刷業</t>
    </r>
    <r>
      <rPr>
        <sz val="10"/>
        <rFont val="Arial"/>
        <family val="2"/>
      </rPr>
      <t>Manufacture of Wood and paper Products</t>
    </r>
  </si>
  <si>
    <r>
      <rPr>
        <sz val="10"/>
        <rFont val="標楷體"/>
        <family val="4"/>
        <charset val="136"/>
      </rPr>
      <t>運輸工具製造業</t>
    </r>
    <r>
      <rPr>
        <sz val="10"/>
        <rFont val="Arial"/>
        <family val="2"/>
      </rPr>
      <t>Manufacture of Transport Equipment and Parts</t>
    </r>
  </si>
  <si>
    <r>
      <rPr>
        <sz val="10"/>
        <rFont val="標楷體"/>
        <family val="4"/>
        <charset val="136"/>
      </rPr>
      <t>橡膠及塑膠製造業</t>
    </r>
    <r>
      <rPr>
        <sz val="10"/>
        <rFont val="Arial"/>
        <family val="2"/>
      </rPr>
      <t>Manufacture of Plastic and Rubber Material</t>
    </r>
  </si>
  <si>
    <r>
      <rPr>
        <sz val="10"/>
        <rFont val="標楷體"/>
        <family val="4"/>
        <charset val="136"/>
      </rPr>
      <t>石油化學製造業</t>
    </r>
    <r>
      <rPr>
        <sz val="10"/>
        <rFont val="Arial"/>
        <family val="2"/>
      </rPr>
      <t>Manufacture of Petrochemicals</t>
    </r>
  </si>
  <si>
    <r>
      <rPr>
        <sz val="10"/>
        <rFont val="標楷體"/>
        <family val="4"/>
        <charset val="136"/>
      </rPr>
      <t>電力與機械設備製造業</t>
    </r>
    <r>
      <rPr>
        <sz val="10"/>
        <rFont val="Arial"/>
        <family val="2"/>
      </rPr>
      <t>Manufacture of Electrical Equipment and Machinery</t>
    </r>
  </si>
  <si>
    <r>
      <rPr>
        <sz val="10"/>
        <rFont val="標楷體"/>
        <family val="4"/>
        <charset val="136"/>
      </rPr>
      <t>其它服務業</t>
    </r>
    <r>
      <rPr>
        <sz val="10"/>
        <rFont val="Arial"/>
        <family val="2"/>
      </rPr>
      <t>Other Service Activities</t>
    </r>
  </si>
  <si>
    <r>
      <rPr>
        <sz val="10"/>
        <rFont val="標楷體"/>
        <family val="4"/>
        <charset val="136"/>
      </rPr>
      <t>非金屬礦物製品製造業</t>
    </r>
    <r>
      <rPr>
        <sz val="10"/>
        <rFont val="Arial"/>
        <family val="2"/>
      </rPr>
      <t>Manufacture of Non-metallic Mineral Products</t>
    </r>
  </si>
  <si>
    <r>
      <rPr>
        <sz val="10"/>
        <rFont val="標楷體"/>
        <family val="4"/>
        <charset val="136"/>
      </rPr>
      <t xml:space="preserve">機械維修、電力用水供應及營造業
</t>
    </r>
    <r>
      <rPr>
        <sz val="10"/>
        <rFont val="Arial"/>
        <family val="2"/>
      </rPr>
      <t>Repair and Installation of Industrial Machinery and Equipment; Water and Electricity Supply; Construction</t>
    </r>
    <phoneticPr fontId="2" type="noConversion"/>
  </si>
  <si>
    <r>
      <rPr>
        <sz val="10"/>
        <rFont val="標楷體"/>
        <family val="4"/>
        <charset val="136"/>
      </rPr>
      <t>資訊及通訊傳播業</t>
    </r>
    <r>
      <rPr>
        <sz val="10"/>
        <rFont val="Arial"/>
        <family val="2"/>
      </rPr>
      <t>Information and Communication</t>
    </r>
  </si>
  <si>
    <r>
      <rPr>
        <sz val="10"/>
        <rFont val="標楷體"/>
        <family val="4"/>
        <charset val="136"/>
      </rPr>
      <t xml:space="preserve">食品飲料菸草製造業
</t>
    </r>
    <r>
      <rPr>
        <sz val="10"/>
        <rFont val="Arial"/>
        <family val="2"/>
      </rPr>
      <t>Manufacture of Food , Beverages and Tobacco Products</t>
    </r>
    <phoneticPr fontId="2" type="noConversion"/>
  </si>
  <si>
    <r>
      <rPr>
        <sz val="10"/>
        <rFont val="標楷體"/>
        <family val="4"/>
        <charset val="136"/>
      </rPr>
      <t>電腦、電子產品及光學製品製造業</t>
    </r>
    <r>
      <rPr>
        <sz val="10"/>
        <rFont val="Arial"/>
        <family val="2"/>
      </rPr>
      <t xml:space="preserve">Manufacture of Computers, Electronic and Optical Products </t>
    </r>
  </si>
  <si>
    <r>
      <rPr>
        <sz val="10"/>
        <rFont val="標楷體"/>
        <family val="4"/>
        <charset val="136"/>
      </rPr>
      <t>其它製造業</t>
    </r>
    <r>
      <rPr>
        <sz val="10"/>
        <rFont val="Arial"/>
        <family val="2"/>
      </rPr>
      <t>Other Manufacturing</t>
    </r>
  </si>
  <si>
    <r>
      <rPr>
        <sz val="10"/>
        <rFont val="標楷體"/>
        <family val="4"/>
        <charset val="136"/>
      </rPr>
      <t>藥品製造業</t>
    </r>
    <r>
      <rPr>
        <sz val="10"/>
        <rFont val="Arial"/>
        <family val="2"/>
      </rPr>
      <t>Manufacture of Pharmaceuticals and Medicinal Chemical Products</t>
    </r>
  </si>
  <si>
    <r>
      <rPr>
        <sz val="10"/>
        <rFont val="標楷體"/>
        <family val="4"/>
        <charset val="136"/>
      </rPr>
      <t>電子零組件製造業</t>
    </r>
    <r>
      <rPr>
        <sz val="10"/>
        <rFont val="Arial"/>
        <family val="2"/>
      </rPr>
      <t>Manufacture of Electronic Parts and Components</t>
    </r>
  </si>
  <si>
    <r>
      <rPr>
        <sz val="10"/>
        <rFont val="標楷體"/>
        <family val="4"/>
        <charset val="136"/>
      </rPr>
      <t>批發及零售業</t>
    </r>
    <r>
      <rPr>
        <sz val="10"/>
        <rFont val="Arial"/>
        <family val="2"/>
      </rPr>
      <t>Wholesale and Retail Trade</t>
    </r>
  </si>
  <si>
    <r>
      <rPr>
        <sz val="10"/>
        <rFont val="標楷體"/>
        <family val="4"/>
        <charset val="136"/>
      </rPr>
      <t>紡織品、成衣及皮革製品</t>
    </r>
    <r>
      <rPr>
        <sz val="10"/>
        <rFont val="Arial"/>
        <family val="2"/>
      </rPr>
      <t>Manufacture of Textile ,Clothing, Fur and Related Products</t>
    </r>
  </si>
  <si>
    <r>
      <rPr>
        <sz val="10"/>
        <rFont val="標楷體"/>
        <family val="4"/>
        <charset val="136"/>
      </rPr>
      <t>生活及後勤運籌支援業</t>
    </r>
    <r>
      <rPr>
        <sz val="10"/>
        <rFont val="Arial"/>
        <family val="2"/>
      </rPr>
      <t>Support Service Activities</t>
    </r>
  </si>
  <si>
    <r>
      <rPr>
        <sz val="10"/>
        <rFont val="標楷體"/>
        <family val="4"/>
        <charset val="136"/>
      </rPr>
      <t>農林漁牧礦業</t>
    </r>
    <r>
      <rPr>
        <sz val="10"/>
        <rFont val="Arial"/>
        <family val="2"/>
      </rPr>
      <t>Agriculture, Forestry, Fishing ,Animal Husbandry and Mining</t>
    </r>
  </si>
  <si>
    <r>
      <rPr>
        <sz val="10"/>
        <rFont val="標楷體"/>
        <family val="4"/>
        <charset val="136"/>
      </rPr>
      <t>機械維修、電力用水供應及營造業</t>
    </r>
    <r>
      <rPr>
        <sz val="10"/>
        <rFont val="Arial"/>
        <family val="2"/>
      </rPr>
      <t>Repair and Installation of Industrial Machinery and Equipment; Water and Electricity Supply; Construction</t>
    </r>
  </si>
  <si>
    <r>
      <rPr>
        <sz val="10"/>
        <rFont val="標楷體"/>
        <family val="4"/>
        <charset val="136"/>
      </rPr>
      <t>食品飲料菸草製造業</t>
    </r>
    <r>
      <rPr>
        <sz val="10"/>
        <rFont val="Arial"/>
        <family val="2"/>
      </rPr>
      <t>Manufacture of Food , Beverages and Tobacco Products</t>
    </r>
  </si>
  <si>
    <r>
      <rPr>
        <b/>
        <sz val="14"/>
        <rFont val="標楷體"/>
        <family val="4"/>
        <charset val="136"/>
      </rPr>
      <t xml:space="preserve">海外投資事業國內員工之性別指數
</t>
    </r>
    <r>
      <rPr>
        <b/>
        <sz val="14"/>
        <rFont val="Arial"/>
        <family val="2"/>
      </rPr>
      <t xml:space="preserve">The Percentage of Male employees in Overseas enterprise "      </t>
    </r>
    <phoneticPr fontId="2" type="noConversion"/>
  </si>
  <si>
    <r>
      <t>99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2010</t>
    </r>
    <phoneticPr fontId="2" type="noConversion"/>
  </si>
  <si>
    <r>
      <rPr>
        <sz val="10"/>
        <rFont val="標楷體"/>
        <family val="4"/>
        <charset val="136"/>
      </rPr>
      <t>電力與機械設製造業</t>
    </r>
    <r>
      <rPr>
        <sz val="10"/>
        <rFont val="Arial"/>
        <family val="2"/>
      </rPr>
      <t>Manufacture of Electrical Equipment and Machinery</t>
    </r>
  </si>
  <si>
    <r>
      <rPr>
        <sz val="10"/>
        <rFont val="標楷體"/>
        <family val="4"/>
        <charset val="136"/>
      </rPr>
      <t>其他製造業</t>
    </r>
    <r>
      <rPr>
        <sz val="10"/>
        <rFont val="Arial"/>
        <family val="2"/>
      </rPr>
      <t>Other Manufacturing</t>
    </r>
  </si>
  <si>
    <r>
      <rPr>
        <sz val="10"/>
        <rFont val="標楷體"/>
        <family val="4"/>
        <charset val="136"/>
      </rPr>
      <t>其他服務業</t>
    </r>
    <r>
      <rPr>
        <sz val="10"/>
        <rFont val="Arial"/>
        <family val="2"/>
      </rPr>
      <t>Other Service Activities</t>
    </r>
  </si>
  <si>
    <r>
      <t>100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2011</t>
    </r>
    <phoneticPr fontId="2" type="noConversion"/>
  </si>
  <si>
    <r>
      <t>103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2014</t>
    </r>
    <phoneticPr fontId="2" type="noConversion"/>
  </si>
  <si>
    <r>
      <t>100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2011</t>
    </r>
    <phoneticPr fontId="2" type="noConversion"/>
  </si>
  <si>
    <r>
      <t>103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2014</t>
    </r>
    <phoneticPr fontId="2" type="noConversion"/>
  </si>
  <si>
    <r>
      <t>104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2015</t>
    </r>
    <phoneticPr fontId="2" type="noConversion"/>
  </si>
  <si>
    <r>
      <t>104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2015</t>
    </r>
    <phoneticPr fontId="2" type="noConversion"/>
  </si>
  <si>
    <r>
      <t>105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2016</t>
    </r>
    <phoneticPr fontId="2" type="noConversion"/>
  </si>
  <si>
    <r>
      <t>105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2016</t>
    </r>
    <phoneticPr fontId="2" type="noConversion"/>
  </si>
  <si>
    <r>
      <t>106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2017</t>
    </r>
    <phoneticPr fontId="2" type="noConversion"/>
  </si>
  <si>
    <r>
      <t>106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2017</t>
    </r>
    <phoneticPr fontId="2" type="noConversion"/>
  </si>
  <si>
    <r>
      <t>107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2018</t>
    </r>
    <phoneticPr fontId="2" type="noConversion"/>
  </si>
  <si>
    <r>
      <t>107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2018</t>
    </r>
    <phoneticPr fontId="2" type="noConversion"/>
  </si>
  <si>
    <r>
      <t>108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2019</t>
    </r>
    <phoneticPr fontId="2" type="noConversion"/>
  </si>
  <si>
    <t>-</t>
    <phoneticPr fontId="2" type="noConversion"/>
  </si>
  <si>
    <r>
      <rPr>
        <sz val="12"/>
        <rFont val="標楷體"/>
        <family val="4"/>
        <charset val="136"/>
      </rPr>
      <t>生活及後勤運籌支援業</t>
    </r>
    <r>
      <rPr>
        <sz val="12"/>
        <rFont val="Arial"/>
        <family val="2"/>
      </rPr>
      <t>Support Service Activities</t>
    </r>
    <phoneticPr fontId="2" type="noConversion"/>
  </si>
  <si>
    <r>
      <t>108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2019</t>
    </r>
    <phoneticPr fontId="2" type="noConversion"/>
  </si>
  <si>
    <r>
      <t>109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2020</t>
    </r>
    <phoneticPr fontId="2" type="noConversion"/>
  </si>
  <si>
    <r>
      <t>109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2020</t>
    </r>
    <phoneticPr fontId="2" type="noConversion"/>
  </si>
  <si>
    <r>
      <t>110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2021</t>
    </r>
    <phoneticPr fontId="2" type="noConversion"/>
  </si>
  <si>
    <r>
      <t>110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2021</t>
    </r>
    <phoneticPr fontId="2" type="noConversion"/>
  </si>
  <si>
    <r>
      <t>111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2022</t>
    </r>
    <phoneticPr fontId="2" type="noConversion"/>
  </si>
  <si>
    <r>
      <t>111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2022</t>
    </r>
    <phoneticPr fontId="2" type="noConversion"/>
  </si>
  <si>
    <r>
      <rPr>
        <sz val="12"/>
        <rFont val="標楷體"/>
        <family val="4"/>
        <charset val="136"/>
      </rPr>
      <t>註：</t>
    </r>
    <r>
      <rPr>
        <sz val="12"/>
        <rFont val="Arial"/>
        <family val="4"/>
      </rPr>
      <t>1.</t>
    </r>
    <r>
      <rPr>
        <sz val="12"/>
        <rFont val="標楷體"/>
        <family val="4"/>
        <charset val="136"/>
      </rPr>
      <t>性別數值越高，代表男性員工比重越高；反之，指數越低，女性員工比重越高，而指數接近</t>
    </r>
    <r>
      <rPr>
        <sz val="12"/>
        <rFont val="Arial"/>
        <family val="2"/>
      </rPr>
      <t xml:space="preserve">50 </t>
    </r>
    <r>
      <rPr>
        <sz val="12"/>
        <rFont val="標楷體"/>
        <family val="4"/>
        <charset val="136"/>
      </rPr>
      <t xml:space="preserve">則代表僱用員工趨於兩性平衡。
</t>
    </r>
    <r>
      <rPr>
        <sz val="12"/>
        <rFont val="Arial"/>
        <family val="4"/>
      </rPr>
      <t xml:space="preserve">        2.</t>
    </r>
    <r>
      <rPr>
        <sz val="12"/>
        <rFont val="標楷體"/>
        <family val="4"/>
        <charset val="136"/>
      </rPr>
      <t>本表內容係統計前</t>
    </r>
    <r>
      <rPr>
        <sz val="12"/>
        <rFont val="Arial"/>
        <family val="4"/>
      </rPr>
      <t>1</t>
    </r>
    <r>
      <rPr>
        <sz val="12"/>
        <rFont val="標楷體"/>
        <family val="4"/>
        <charset val="136"/>
      </rPr>
      <t>年度資料。</t>
    </r>
    <phoneticPr fontId="2" type="noConversion"/>
  </si>
  <si>
    <r>
      <t>112</t>
    </r>
    <r>
      <rPr>
        <sz val="12"/>
        <rFont val="標楷體"/>
        <family val="4"/>
        <charset val="136"/>
      </rPr>
      <t xml:space="preserve">年
</t>
    </r>
    <r>
      <rPr>
        <sz val="12"/>
        <rFont val="Arial"/>
        <family val="2"/>
      </rPr>
      <t>2023</t>
    </r>
    <phoneticPr fontId="2" type="noConversion"/>
  </si>
  <si>
    <r>
      <t>112</t>
    </r>
    <r>
      <rPr>
        <sz val="10"/>
        <rFont val="標楷體"/>
        <family val="4"/>
        <charset val="136"/>
      </rPr>
      <t xml:space="preserve">年
</t>
    </r>
    <r>
      <rPr>
        <sz val="10"/>
        <rFont val="Arial"/>
        <family val="2"/>
      </rPr>
      <t>2023</t>
    </r>
    <phoneticPr fontId="2" type="noConversion"/>
  </si>
  <si>
    <r>
      <t>資料來源：</t>
    </r>
    <r>
      <rPr>
        <sz val="12"/>
        <color rgb="FF000000"/>
        <rFont val="標楷體"/>
        <family val="4"/>
        <charset val="136"/>
      </rPr>
      <t>經濟部投資審議司</t>
    </r>
    <r>
      <rPr>
        <sz val="12"/>
        <color indexed="8"/>
        <rFont val="標楷體"/>
        <family val="4"/>
        <charset val="136"/>
      </rPr>
      <t>(Soure:Department of Investment Review, Ministry of Economic Affairs)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</si>
</sst>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0.00_ "/>
    <numFmt numFmtId="177" formatCode="_-* #,##0_-;\-* #,##0_-;_-* &quot;-&quot;??_-;_-@_-"/>
    <numFmt numFmtId="178" formatCode="0_ "/>
  </numFmts>
  <fonts count="22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name val="Arial"/>
      <family val="2"/>
    </font>
    <font>
      <b/>
      <sz val="10"/>
      <name val="標楷體"/>
      <family val="4"/>
      <charset val="136"/>
    </font>
    <font>
      <b/>
      <sz val="10"/>
      <name val="Arial"/>
      <family val="2"/>
    </font>
    <font>
      <sz val="10"/>
      <name val="標楷體"/>
      <family val="4"/>
      <charset val="136"/>
    </font>
    <font>
      <sz val="11"/>
      <name val="Arial"/>
      <family val="2"/>
    </font>
    <font>
      <b/>
      <sz val="12"/>
      <name val="標楷體"/>
      <family val="4"/>
      <charset val="136"/>
    </font>
    <font>
      <sz val="12"/>
      <name val="Arial"/>
      <family val="2"/>
    </font>
    <font>
      <b/>
      <sz val="14"/>
      <name val="標楷體"/>
      <family val="4"/>
      <charset val="136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2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sz val="12"/>
      <name val="Arial"/>
      <family val="4"/>
    </font>
    <font>
      <sz val="12"/>
      <name val="Arial"/>
      <family val="4"/>
      <charset val="136"/>
    </font>
    <font>
      <sz val="12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</patternFill>
    </fill>
  </fills>
  <borders count="42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3" fillId="3" borderId="0" xfId="0" applyNumberFormat="1" applyFont="1" applyFill="1" applyAlignment="1">
      <alignment horizontal="right" vertical="center" wrapText="1"/>
    </xf>
    <xf numFmtId="0" fontId="13" fillId="3" borderId="0" xfId="0" applyFont="1" applyFill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>
      <alignment vertical="center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right" wrapText="1"/>
    </xf>
    <xf numFmtId="0" fontId="6" fillId="3" borderId="1" xfId="0" applyFont="1" applyFill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top" wrapText="1"/>
    </xf>
    <xf numFmtId="0" fontId="10" fillId="0" borderId="8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wrapText="1"/>
    </xf>
    <xf numFmtId="3" fontId="16" fillId="2" borderId="10" xfId="0" applyNumberFormat="1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3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177" fontId="13" fillId="3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Border="1" applyAlignment="1">
      <alignment horizontal="right" vertical="center" wrapText="1"/>
    </xf>
    <xf numFmtId="177" fontId="10" fillId="0" borderId="0" xfId="1" applyNumberFormat="1" applyFont="1" applyFill="1" applyBorder="1" applyAlignment="1" applyProtection="1">
      <alignment horizontal="right" vertical="top" wrapText="1"/>
      <protection locked="0"/>
    </xf>
    <xf numFmtId="177" fontId="10" fillId="0" borderId="0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 wrapText="1"/>
    </xf>
    <xf numFmtId="177" fontId="13" fillId="3" borderId="0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Border="1" applyAlignment="1">
      <alignment horizontal="center" vertical="center" wrapText="1"/>
    </xf>
    <xf numFmtId="177" fontId="10" fillId="0" borderId="0" xfId="1" applyNumberFormat="1" applyFont="1" applyFill="1" applyBorder="1" applyAlignment="1" applyProtection="1">
      <alignment horizontal="center" vertical="top" wrapText="1"/>
      <protection locked="0"/>
    </xf>
    <xf numFmtId="177" fontId="10" fillId="0" borderId="0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 wrapText="1"/>
    </xf>
    <xf numFmtId="3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7" fontId="13" fillId="3" borderId="0" xfId="1" applyNumberFormat="1" applyFont="1" applyFill="1" applyBorder="1" applyAlignment="1">
      <alignment vertical="center" wrapText="1"/>
    </xf>
    <xf numFmtId="177" fontId="10" fillId="0" borderId="0" xfId="1" applyNumberFormat="1" applyFont="1" applyBorder="1" applyAlignment="1">
      <alignment vertical="center" wrapText="1"/>
    </xf>
    <xf numFmtId="177" fontId="10" fillId="0" borderId="8" xfId="1" applyNumberFormat="1" applyFont="1" applyBorder="1" applyAlignment="1">
      <alignment vertical="center" wrapText="1"/>
    </xf>
    <xf numFmtId="177" fontId="13" fillId="3" borderId="0" xfId="1" applyNumberFormat="1" applyFont="1" applyFill="1" applyBorder="1" applyAlignment="1">
      <alignment horizontal="justify" vertical="center" wrapText="1"/>
    </xf>
    <xf numFmtId="177" fontId="10" fillId="0" borderId="0" xfId="1" applyNumberFormat="1" applyFont="1" applyBorder="1" applyAlignment="1">
      <alignment horizontal="justify" vertical="center" wrapText="1"/>
    </xf>
    <xf numFmtId="177" fontId="10" fillId="0" borderId="0" xfId="1" applyNumberFormat="1" applyFont="1" applyFill="1" applyBorder="1" applyAlignment="1" applyProtection="1">
      <alignment horizontal="left" vertical="top" wrapText="1"/>
      <protection locked="0"/>
    </xf>
    <xf numFmtId="177" fontId="10" fillId="0" borderId="0" xfId="1" applyNumberFormat="1" applyFont="1" applyBorder="1">
      <alignment vertical="center"/>
    </xf>
    <xf numFmtId="177" fontId="10" fillId="0" borderId="7" xfId="1" applyNumberFormat="1" applyFont="1" applyBorder="1" applyAlignment="1">
      <alignment horizontal="justify" vertical="center" wrapText="1"/>
    </xf>
    <xf numFmtId="178" fontId="13" fillId="3" borderId="0" xfId="0" applyNumberFormat="1" applyFont="1" applyFill="1" applyAlignment="1">
      <alignment horizontal="right" vertical="center" wrapText="1"/>
    </xf>
    <xf numFmtId="178" fontId="10" fillId="0" borderId="0" xfId="0" applyNumberFormat="1" applyFont="1" applyAlignment="1">
      <alignment horizontal="right" vertical="center" wrapText="1"/>
    </xf>
    <xf numFmtId="178" fontId="10" fillId="0" borderId="0" xfId="0" applyNumberFormat="1" applyFont="1" applyAlignment="1" applyProtection="1">
      <alignment horizontal="right" vertical="top" wrapText="1"/>
      <protection locked="0"/>
    </xf>
    <xf numFmtId="178" fontId="10" fillId="0" borderId="0" xfId="0" applyNumberFormat="1" applyFont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 wrapText="1"/>
    </xf>
    <xf numFmtId="0" fontId="10" fillId="4" borderId="0" xfId="0" applyFont="1" applyFill="1">
      <alignment vertical="center"/>
    </xf>
    <xf numFmtId="177" fontId="14" fillId="0" borderId="0" xfId="1" applyNumberFormat="1" applyFont="1" applyFill="1" applyBorder="1" applyAlignment="1">
      <alignment vertical="center"/>
    </xf>
    <xf numFmtId="177" fontId="10" fillId="0" borderId="0" xfId="1" applyNumberFormat="1" applyFont="1">
      <alignment vertical="center"/>
    </xf>
    <xf numFmtId="177" fontId="10" fillId="4" borderId="0" xfId="1" applyNumberFormat="1" applyFont="1" applyFill="1">
      <alignment vertical="center"/>
    </xf>
    <xf numFmtId="177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7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10" fillId="0" borderId="1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justify" vertical="center" wrapText="1"/>
    </xf>
    <xf numFmtId="178" fontId="13" fillId="3" borderId="23" xfId="0" applyNumberFormat="1" applyFont="1" applyFill="1" applyBorder="1" applyAlignment="1">
      <alignment horizontal="right" vertical="center" wrapText="1"/>
    </xf>
    <xf numFmtId="0" fontId="4" fillId="0" borderId="22" xfId="0" applyFont="1" applyBorder="1" applyAlignment="1">
      <alignment horizontal="justify" vertical="center" wrapText="1"/>
    </xf>
    <xf numFmtId="178" fontId="10" fillId="0" borderId="23" xfId="0" applyNumberFormat="1" applyFont="1" applyBorder="1" applyAlignment="1">
      <alignment horizontal="right" vertical="center" wrapText="1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>
      <alignment vertical="center"/>
    </xf>
    <xf numFmtId="0" fontId="4" fillId="0" borderId="24" xfId="0" applyFont="1" applyBorder="1" applyAlignment="1">
      <alignment horizontal="justify" vertical="center" wrapText="1"/>
    </xf>
    <xf numFmtId="178" fontId="10" fillId="0" borderId="25" xfId="0" applyNumberFormat="1" applyFont="1" applyBorder="1" applyAlignment="1">
      <alignment horizontal="right" vertical="center" wrapText="1"/>
    </xf>
    <xf numFmtId="0" fontId="10" fillId="0" borderId="23" xfId="0" applyFont="1" applyBorder="1">
      <alignment vertical="center"/>
    </xf>
    <xf numFmtId="0" fontId="10" fillId="0" borderId="25" xfId="0" applyFont="1" applyBorder="1">
      <alignment vertical="center"/>
    </xf>
    <xf numFmtId="177" fontId="10" fillId="0" borderId="0" xfId="1" applyNumberFormat="1" applyFont="1" applyFill="1">
      <alignment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2" xfId="0" applyFont="1" applyBorder="1">
      <alignment vertical="center"/>
    </xf>
    <xf numFmtId="178" fontId="13" fillId="3" borderId="19" xfId="0" applyNumberFormat="1" applyFont="1" applyFill="1" applyBorder="1" applyAlignment="1">
      <alignment horizontal="right" vertical="center" wrapText="1"/>
    </xf>
    <xf numFmtId="178" fontId="10" fillId="0" borderId="21" xfId="0" applyNumberFormat="1" applyFont="1" applyBorder="1" applyAlignment="1">
      <alignment horizontal="right" vertical="center" wrapText="1"/>
    </xf>
    <xf numFmtId="177" fontId="10" fillId="0" borderId="2" xfId="1" applyNumberFormat="1" applyFont="1" applyFill="1" applyBorder="1" applyAlignment="1">
      <alignment horizontal="right" vertical="center" wrapText="1"/>
    </xf>
    <xf numFmtId="177" fontId="10" fillId="0" borderId="2" xfId="1" applyNumberFormat="1" applyFont="1" applyFill="1" applyBorder="1" applyAlignment="1" applyProtection="1">
      <alignment horizontal="right" vertical="top" wrapText="1"/>
      <protection locked="0"/>
    </xf>
    <xf numFmtId="177" fontId="10" fillId="0" borderId="2" xfId="1" applyNumberFormat="1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justify" vertical="center" wrapText="1"/>
    </xf>
    <xf numFmtId="177" fontId="13" fillId="3" borderId="33" xfId="1" applyNumberFormat="1" applyFont="1" applyFill="1" applyBorder="1" applyAlignment="1">
      <alignment horizontal="right" vertical="center" wrapText="1"/>
    </xf>
    <xf numFmtId="0" fontId="4" fillId="0" borderId="28" xfId="0" applyFont="1" applyBorder="1" applyAlignment="1">
      <alignment horizontal="justify" vertical="center" wrapText="1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28" xfId="0" applyFont="1" applyBorder="1">
      <alignment vertical="center"/>
    </xf>
    <xf numFmtId="0" fontId="4" fillId="0" borderId="34" xfId="0" applyFont="1" applyBorder="1" applyAlignment="1">
      <alignment horizontal="justify" vertical="center" wrapText="1"/>
    </xf>
    <xf numFmtId="177" fontId="10" fillId="0" borderId="35" xfId="1" applyNumberFormat="1" applyFont="1" applyFill="1" applyBorder="1" applyAlignment="1">
      <alignment horizontal="right" vertical="center" wrapText="1"/>
    </xf>
    <xf numFmtId="178" fontId="10" fillId="0" borderId="36" xfId="0" applyNumberFormat="1" applyFont="1" applyBorder="1" applyAlignment="1">
      <alignment horizontal="right" vertical="center" wrapText="1"/>
    </xf>
    <xf numFmtId="0" fontId="10" fillId="0" borderId="37" xfId="0" applyFont="1" applyBorder="1" applyAlignment="1">
      <alignment wrapText="1"/>
    </xf>
    <xf numFmtId="0" fontId="10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right" wrapText="1"/>
    </xf>
    <xf numFmtId="177" fontId="10" fillId="0" borderId="2" xfId="2" applyNumberFormat="1" applyFont="1" applyFill="1" applyBorder="1" applyAlignment="1">
      <alignment horizontal="right" vertical="center" wrapText="1"/>
    </xf>
    <xf numFmtId="0" fontId="10" fillId="0" borderId="40" xfId="0" applyFont="1" applyBorder="1" applyAlignment="1">
      <alignment horizontal="justify" vertical="center" wrapText="1"/>
    </xf>
    <xf numFmtId="177" fontId="10" fillId="0" borderId="0" xfId="1" applyNumberFormat="1" applyFont="1" applyFill="1" applyBorder="1" applyAlignment="1" applyProtection="1">
      <alignment horizontal="right" vertical="top" wrapText="1"/>
    </xf>
    <xf numFmtId="0" fontId="3" fillId="0" borderId="0" xfId="0" applyFont="1">
      <alignment vertical="center"/>
    </xf>
    <xf numFmtId="0" fontId="10" fillId="0" borderId="0" xfId="0" applyFont="1" applyBorder="1">
      <alignment vertical="center"/>
    </xf>
    <xf numFmtId="177" fontId="10" fillId="0" borderId="21" xfId="0" applyNumberFormat="1" applyFont="1" applyBorder="1" applyAlignment="1">
      <alignment horizontal="right" vertical="center" wrapText="1"/>
    </xf>
    <xf numFmtId="177" fontId="10" fillId="0" borderId="36" xfId="0" applyNumberFormat="1" applyFont="1" applyBorder="1" applyAlignment="1">
      <alignment horizontal="right" vertical="center" wrapText="1"/>
    </xf>
    <xf numFmtId="43" fontId="10" fillId="0" borderId="0" xfId="0" applyNumberFormat="1" applyFont="1">
      <alignment vertical="center"/>
    </xf>
    <xf numFmtId="177" fontId="13" fillId="3" borderId="19" xfId="0" applyNumberFormat="1" applyFont="1" applyFill="1" applyBorder="1" applyAlignment="1">
      <alignment horizontal="right" vertical="center" wrapText="1"/>
    </xf>
    <xf numFmtId="0" fontId="13" fillId="3" borderId="40" xfId="0" applyFont="1" applyFill="1" applyBorder="1" applyAlignment="1">
      <alignment horizontal="justify" vertical="center" wrapText="1"/>
    </xf>
    <xf numFmtId="0" fontId="10" fillId="0" borderId="40" xfId="0" applyFont="1" applyBorder="1" applyAlignment="1" applyProtection="1">
      <alignment horizontal="left" vertical="top" wrapText="1"/>
      <protection locked="0"/>
    </xf>
    <xf numFmtId="0" fontId="10" fillId="0" borderId="40" xfId="0" applyFont="1" applyBorder="1">
      <alignment vertical="center"/>
    </xf>
    <xf numFmtId="0" fontId="10" fillId="0" borderId="41" xfId="0" applyFont="1" applyBorder="1" applyAlignment="1">
      <alignment horizontal="justify" vertical="center" wrapText="1"/>
    </xf>
    <xf numFmtId="177" fontId="13" fillId="3" borderId="0" xfId="0" applyNumberFormat="1" applyFont="1" applyFill="1" applyBorder="1" applyAlignment="1">
      <alignment horizontal="right" vertical="center" wrapText="1"/>
    </xf>
    <xf numFmtId="177" fontId="10" fillId="0" borderId="0" xfId="0" applyNumberFormat="1" applyFont="1" applyBorder="1" applyAlignment="1">
      <alignment horizontal="right" vertical="center" wrapText="1"/>
    </xf>
    <xf numFmtId="177" fontId="10" fillId="0" borderId="0" xfId="2" applyNumberFormat="1" applyFont="1" applyFill="1" applyBorder="1" applyAlignment="1">
      <alignment horizontal="right" vertical="center" wrapText="1"/>
    </xf>
    <xf numFmtId="177" fontId="10" fillId="0" borderId="7" xfId="0" applyNumberFormat="1" applyFont="1" applyBorder="1" applyAlignment="1">
      <alignment horizontal="right" vertical="center" wrapText="1"/>
    </xf>
    <xf numFmtId="177" fontId="10" fillId="0" borderId="11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10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8" fillId="0" borderId="26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justify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4" fillId="0" borderId="28" xfId="0" applyFont="1" applyFill="1" applyBorder="1" applyAlignment="1">
      <alignment horizontal="justify" vertical="center" wrapText="1"/>
    </xf>
    <xf numFmtId="0" fontId="4" fillId="0" borderId="28" xfId="0" applyFont="1" applyFill="1" applyBorder="1" applyAlignment="1" applyProtection="1">
      <alignment horizontal="left" vertical="top" wrapText="1"/>
      <protection locked="0"/>
    </xf>
    <xf numFmtId="0" fontId="4" fillId="0" borderId="28" xfId="0" applyFont="1" applyFill="1" applyBorder="1">
      <alignment vertical="center"/>
    </xf>
    <xf numFmtId="0" fontId="4" fillId="0" borderId="34" xfId="0" applyFont="1" applyFill="1" applyBorder="1" applyAlignment="1">
      <alignment horizontal="justify" vertical="center" wrapText="1"/>
    </xf>
  </cellXfs>
  <cellStyles count="3">
    <cellStyle name="一般" xfId="0" builtinId="0"/>
    <cellStyle name="千分位" xfId="1" builtinId="3"/>
    <cellStyle name="輔色5" xfId="2" builtin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view="pageBreakPreview" zoomScale="70" zoomScaleNormal="73" zoomScaleSheetLayoutView="70" workbookViewId="0">
      <selection activeCell="AC4" sqref="AC4"/>
    </sheetView>
  </sheetViews>
  <sheetFormatPr defaultColWidth="9" defaultRowHeight="15"/>
  <cols>
    <col min="1" max="1" width="80.625" style="3" customWidth="1"/>
    <col min="2" max="2" width="19.375" style="3" customWidth="1"/>
    <col min="3" max="3" width="12.5" style="3" customWidth="1"/>
    <col min="4" max="4" width="19.375" style="3" customWidth="1"/>
    <col min="5" max="5" width="12.5" style="3" customWidth="1"/>
    <col min="6" max="6" width="11.375" style="64" customWidth="1"/>
    <col min="7" max="7" width="12.625" style="61" customWidth="1"/>
    <col min="8" max="8" width="10.625" style="63" customWidth="1"/>
    <col min="9" max="9" width="12.625" style="3" customWidth="1"/>
    <col min="10" max="10" width="11.875" style="63" customWidth="1"/>
    <col min="11" max="11" width="12.625" style="3" customWidth="1"/>
    <col min="12" max="12" width="11.25" style="3" customWidth="1"/>
    <col min="13" max="13" width="12.625" style="3" customWidth="1"/>
    <col min="14" max="14" width="10.75" style="3" customWidth="1"/>
    <col min="15" max="15" width="12.625" style="3" customWidth="1"/>
    <col min="16" max="16" width="11.5" style="3" customWidth="1"/>
    <col min="17" max="17" width="12.625" style="3" customWidth="1"/>
    <col min="18" max="18" width="9.5" style="3" customWidth="1"/>
    <col min="19" max="19" width="12.625" style="3" customWidth="1"/>
    <col min="20" max="20" width="9.5" style="3" customWidth="1"/>
    <col min="21" max="21" width="12.625" style="3" customWidth="1"/>
    <col min="22" max="22" width="9.625" style="3" customWidth="1"/>
    <col min="23" max="23" width="12.625" style="3" customWidth="1"/>
    <col min="24" max="24" width="9" style="3"/>
    <col min="25" max="25" width="12.5" style="3" customWidth="1"/>
    <col min="26" max="16384" width="9" style="3"/>
  </cols>
  <sheetData>
    <row r="1" spans="1:27" ht="63.75" customHeight="1">
      <c r="A1" s="120" t="s">
        <v>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1"/>
      <c r="S1" s="121"/>
      <c r="T1" s="121"/>
      <c r="U1" s="121"/>
      <c r="V1" s="121"/>
      <c r="W1" s="121"/>
    </row>
    <row r="2" spans="1:27" ht="15.75" thickBo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5"/>
      <c r="S2" s="125"/>
    </row>
    <row r="3" spans="1:27" ht="39" customHeight="1">
      <c r="A3" s="131"/>
      <c r="B3" s="122" t="s">
        <v>80</v>
      </c>
      <c r="C3" s="123"/>
      <c r="D3" s="122" t="s">
        <v>76</v>
      </c>
      <c r="E3" s="123"/>
      <c r="F3" s="126" t="s">
        <v>74</v>
      </c>
      <c r="G3" s="127"/>
      <c r="H3" s="126" t="s">
        <v>73</v>
      </c>
      <c r="I3" s="127"/>
      <c r="J3" s="122" t="s">
        <v>68</v>
      </c>
      <c r="K3" s="123"/>
      <c r="L3" s="122" t="s">
        <v>67</v>
      </c>
      <c r="M3" s="123"/>
      <c r="N3" s="122" t="s">
        <v>64</v>
      </c>
      <c r="O3" s="123"/>
      <c r="P3" s="122" t="s">
        <v>63</v>
      </c>
      <c r="Q3" s="123"/>
      <c r="R3" s="122" t="s">
        <v>61</v>
      </c>
      <c r="S3" s="123"/>
      <c r="T3" s="122" t="s">
        <v>57</v>
      </c>
      <c r="U3" s="123"/>
      <c r="V3" s="122" t="s">
        <v>2</v>
      </c>
      <c r="W3" s="123"/>
      <c r="X3" s="122" t="s">
        <v>58</v>
      </c>
      <c r="Y3" s="123"/>
      <c r="Z3" s="122" t="s">
        <v>3</v>
      </c>
      <c r="AA3" s="128"/>
    </row>
    <row r="4" spans="1:27" ht="15" customHeight="1">
      <c r="A4" s="132"/>
      <c r="B4" s="119" t="s">
        <v>4</v>
      </c>
      <c r="C4" s="35"/>
      <c r="D4" s="119" t="s">
        <v>4</v>
      </c>
      <c r="E4" s="35"/>
      <c r="F4" s="119" t="s">
        <v>4</v>
      </c>
      <c r="G4" s="35"/>
      <c r="H4" s="119" t="s">
        <v>4</v>
      </c>
      <c r="I4" s="35"/>
      <c r="J4" s="119" t="s">
        <v>4</v>
      </c>
      <c r="K4" s="35"/>
      <c r="L4" s="119" t="s">
        <v>4</v>
      </c>
      <c r="M4" s="35"/>
      <c r="N4" s="119" t="s">
        <v>4</v>
      </c>
      <c r="O4" s="35"/>
      <c r="P4" s="119" t="s">
        <v>4</v>
      </c>
      <c r="Q4" s="35"/>
      <c r="R4" s="119" t="s">
        <v>4</v>
      </c>
      <c r="S4" s="35"/>
      <c r="T4" s="119" t="s">
        <v>4</v>
      </c>
      <c r="U4" s="35"/>
      <c r="V4" s="119" t="s">
        <v>4</v>
      </c>
      <c r="W4" s="4"/>
      <c r="X4" s="119" t="s">
        <v>4</v>
      </c>
      <c r="Y4" s="4"/>
      <c r="Z4" s="119" t="s">
        <v>4</v>
      </c>
      <c r="AA4" s="72"/>
    </row>
    <row r="5" spans="1:27" ht="76.5">
      <c r="A5" s="132"/>
      <c r="B5" s="119"/>
      <c r="C5" s="4" t="s">
        <v>5</v>
      </c>
      <c r="D5" s="119"/>
      <c r="E5" s="4" t="s">
        <v>5</v>
      </c>
      <c r="F5" s="119"/>
      <c r="G5" s="4" t="s">
        <v>5</v>
      </c>
      <c r="H5" s="119"/>
      <c r="I5" s="4" t="s">
        <v>5</v>
      </c>
      <c r="J5" s="119"/>
      <c r="K5" s="4" t="s">
        <v>5</v>
      </c>
      <c r="L5" s="119"/>
      <c r="M5" s="4" t="s">
        <v>5</v>
      </c>
      <c r="N5" s="119"/>
      <c r="O5" s="4" t="s">
        <v>5</v>
      </c>
      <c r="P5" s="119"/>
      <c r="Q5" s="4" t="s">
        <v>5</v>
      </c>
      <c r="R5" s="119"/>
      <c r="S5" s="4" t="s">
        <v>5</v>
      </c>
      <c r="T5" s="119"/>
      <c r="U5" s="4" t="s">
        <v>5</v>
      </c>
      <c r="V5" s="119"/>
      <c r="W5" s="4" t="s">
        <v>5</v>
      </c>
      <c r="X5" s="119"/>
      <c r="Y5" s="4" t="s">
        <v>5</v>
      </c>
      <c r="Z5" s="119"/>
      <c r="AA5" s="72" t="s">
        <v>5</v>
      </c>
    </row>
    <row r="6" spans="1:27" ht="20.100000000000001" customHeight="1">
      <c r="A6" s="111" t="s">
        <v>6</v>
      </c>
      <c r="B6" s="36">
        <f>SUM(B7:B25)</f>
        <v>331066</v>
      </c>
      <c r="C6" s="115">
        <v>52</v>
      </c>
      <c r="D6" s="36">
        <f>SUM(D7:D25)</f>
        <v>407090</v>
      </c>
      <c r="E6" s="74">
        <v>68</v>
      </c>
      <c r="F6" s="36">
        <f>SUM(F7:F25)</f>
        <v>350251</v>
      </c>
      <c r="G6" s="74">
        <v>63</v>
      </c>
      <c r="H6" s="36">
        <f>SUM(H7:H25)</f>
        <v>317763</v>
      </c>
      <c r="I6" s="74">
        <v>55.32</v>
      </c>
      <c r="J6" s="36">
        <v>449730</v>
      </c>
      <c r="K6" s="56">
        <v>56</v>
      </c>
      <c r="L6" s="36">
        <v>386856</v>
      </c>
      <c r="M6" s="56">
        <v>57.25</v>
      </c>
      <c r="N6" s="36">
        <v>524660</v>
      </c>
      <c r="O6" s="56">
        <v>56.69</v>
      </c>
      <c r="P6" s="51">
        <v>502413</v>
      </c>
      <c r="Q6" s="51">
        <v>57</v>
      </c>
      <c r="R6" s="36">
        <v>388557</v>
      </c>
      <c r="S6" s="36">
        <v>55</v>
      </c>
      <c r="T6" s="36">
        <v>632024</v>
      </c>
      <c r="U6" s="41">
        <v>61</v>
      </c>
      <c r="V6" s="5">
        <v>565847</v>
      </c>
      <c r="W6" s="6">
        <v>62</v>
      </c>
      <c r="X6" s="5">
        <v>558754</v>
      </c>
      <c r="Y6" s="6">
        <v>62</v>
      </c>
      <c r="Z6" s="3">
        <v>515952</v>
      </c>
      <c r="AA6" s="81">
        <v>59.86</v>
      </c>
    </row>
    <row r="7" spans="1:27" ht="16.5">
      <c r="A7" s="103" t="s">
        <v>25</v>
      </c>
      <c r="B7" s="65">
        <f>3809+20275+4113+7454</f>
        <v>35651</v>
      </c>
      <c r="C7" s="116">
        <v>70.667246921544972</v>
      </c>
      <c r="D7" s="65">
        <f>4606+6994+11261+22318</f>
        <v>45179</v>
      </c>
      <c r="E7" s="76">
        <v>61</v>
      </c>
      <c r="F7" s="65">
        <f>7113+5202+6360+20405</f>
        <v>39080</v>
      </c>
      <c r="G7" s="76">
        <v>89</v>
      </c>
      <c r="H7" s="65">
        <f>18737+6491+5114+4617</f>
        <v>34959</v>
      </c>
      <c r="I7" s="76">
        <v>88</v>
      </c>
      <c r="J7" s="65">
        <f>5798+11783</f>
        <v>17581</v>
      </c>
      <c r="K7" s="57">
        <v>82.588303281952093</v>
      </c>
      <c r="L7" s="37">
        <v>13920</v>
      </c>
      <c r="M7" s="57">
        <v>79.614280890804594</v>
      </c>
      <c r="N7" s="37">
        <v>22659</v>
      </c>
      <c r="O7" s="57">
        <v>79.797749238713109</v>
      </c>
      <c r="P7" s="52">
        <v>17931</v>
      </c>
      <c r="Q7" s="52">
        <v>81.218950421058494</v>
      </c>
      <c r="R7" s="37">
        <v>12521</v>
      </c>
      <c r="S7" s="37">
        <v>83</v>
      </c>
      <c r="T7" s="37">
        <v>15983</v>
      </c>
      <c r="U7" s="42">
        <v>76</v>
      </c>
      <c r="V7" s="7">
        <v>43377</v>
      </c>
      <c r="W7" s="8">
        <v>88</v>
      </c>
      <c r="X7" s="7">
        <v>45512</v>
      </c>
      <c r="Y7" s="8">
        <v>89</v>
      </c>
      <c r="Z7" s="3">
        <v>15193</v>
      </c>
      <c r="AA7" s="81">
        <v>80.19</v>
      </c>
    </row>
    <row r="8" spans="1:27" ht="16.5">
      <c r="A8" s="103" t="s">
        <v>7</v>
      </c>
      <c r="B8" s="65">
        <f>1524+12+4908+270</f>
        <v>6714</v>
      </c>
      <c r="C8" s="116">
        <v>46.182680965147462</v>
      </c>
      <c r="D8" s="65">
        <f>1576+30+5296+393</f>
        <v>7295</v>
      </c>
      <c r="E8" s="76">
        <v>62</v>
      </c>
      <c r="F8" s="65">
        <f>1597+4728</f>
        <v>6325</v>
      </c>
      <c r="G8" s="76">
        <v>82</v>
      </c>
      <c r="H8" s="65">
        <f>4610+1611+257+194</f>
        <v>6672</v>
      </c>
      <c r="I8" s="76">
        <v>82</v>
      </c>
      <c r="J8" s="65">
        <f>696+11771</f>
        <v>12467</v>
      </c>
      <c r="K8" s="57">
        <v>81.347818240154027</v>
      </c>
      <c r="L8" s="37">
        <v>13392</v>
      </c>
      <c r="M8" s="57">
        <v>81.446236559139791</v>
      </c>
      <c r="N8" s="37">
        <v>13667</v>
      </c>
      <c r="O8" s="57">
        <v>80.555058901002411</v>
      </c>
      <c r="P8" s="52">
        <v>10269</v>
      </c>
      <c r="Q8" s="52">
        <v>80.230499561787923</v>
      </c>
      <c r="R8" s="37">
        <v>6196</v>
      </c>
      <c r="S8" s="37">
        <v>84</v>
      </c>
      <c r="T8" s="37">
        <v>6958</v>
      </c>
      <c r="U8" s="42">
        <v>81</v>
      </c>
      <c r="V8" s="7">
        <v>9299</v>
      </c>
      <c r="W8" s="8">
        <v>78</v>
      </c>
      <c r="X8" s="7">
        <v>4141</v>
      </c>
      <c r="Y8" s="8">
        <v>82</v>
      </c>
      <c r="Z8" s="3">
        <v>9429</v>
      </c>
      <c r="AA8" s="81">
        <v>79.55</v>
      </c>
    </row>
    <row r="9" spans="1:27" ht="16.5">
      <c r="A9" s="103" t="s">
        <v>8</v>
      </c>
      <c r="B9" s="65">
        <f>1574+86+6780+647</f>
        <v>9087</v>
      </c>
      <c r="C9" s="116">
        <v>56.035584901507654</v>
      </c>
      <c r="D9" s="65">
        <f>4371+1301+12920+2250</f>
        <v>20842</v>
      </c>
      <c r="E9" s="76">
        <v>61</v>
      </c>
      <c r="F9" s="65">
        <f>1768+2893+8670+4032</f>
        <v>17363</v>
      </c>
      <c r="G9" s="76">
        <v>60</v>
      </c>
      <c r="H9" s="65">
        <f>2932+4088+1812+4531+7015+4126</f>
        <v>24504</v>
      </c>
      <c r="I9" s="76">
        <v>64</v>
      </c>
      <c r="J9" s="65">
        <f>9434+4882</f>
        <v>14316</v>
      </c>
      <c r="K9" s="57">
        <v>54.026581447331658</v>
      </c>
      <c r="L9" s="37">
        <v>12486</v>
      </c>
      <c r="M9" s="57">
        <v>45.176441614608365</v>
      </c>
      <c r="N9" s="37">
        <v>16941</v>
      </c>
      <c r="O9" s="57">
        <v>51.262838675402868</v>
      </c>
      <c r="P9" s="52">
        <v>16870</v>
      </c>
      <c r="Q9" s="52">
        <v>54.404860699466504</v>
      </c>
      <c r="R9" s="37">
        <v>8045</v>
      </c>
      <c r="S9" s="37">
        <v>74</v>
      </c>
      <c r="T9" s="37">
        <v>15438</v>
      </c>
      <c r="U9" s="42">
        <v>75</v>
      </c>
      <c r="V9" s="7">
        <v>27883</v>
      </c>
      <c r="W9" s="8">
        <v>70</v>
      </c>
      <c r="X9" s="7">
        <v>19573</v>
      </c>
      <c r="Y9" s="8">
        <v>80</v>
      </c>
      <c r="Z9" s="3">
        <v>21206</v>
      </c>
      <c r="AA9" s="81">
        <v>64.62</v>
      </c>
    </row>
    <row r="10" spans="1:27" ht="16.5">
      <c r="A10" s="103" t="s">
        <v>9</v>
      </c>
      <c r="B10" s="65">
        <f>783+133+2362+774</f>
        <v>4052</v>
      </c>
      <c r="C10" s="116">
        <v>44.875503455083908</v>
      </c>
      <c r="D10" s="65">
        <f>1905+1133+2521+2879</f>
        <v>8438</v>
      </c>
      <c r="E10" s="76">
        <v>51</v>
      </c>
      <c r="F10" s="65">
        <f>790+1144+2983+3654</f>
        <v>8571</v>
      </c>
      <c r="G10" s="76">
        <v>70</v>
      </c>
      <c r="H10" s="65">
        <f>2251+2026</f>
        <v>4277</v>
      </c>
      <c r="I10" s="76">
        <v>70</v>
      </c>
      <c r="J10" s="65">
        <f>3407+4124</f>
        <v>7531</v>
      </c>
      <c r="K10" s="57">
        <v>75.020735626078874</v>
      </c>
      <c r="L10" s="37">
        <v>4716</v>
      </c>
      <c r="M10" s="57">
        <v>69.80911789652248</v>
      </c>
      <c r="N10" s="37">
        <v>5828</v>
      </c>
      <c r="O10" s="57">
        <v>67.811664378860669</v>
      </c>
      <c r="P10" s="52">
        <v>6328</v>
      </c>
      <c r="Q10" s="52">
        <v>68.571586599241456</v>
      </c>
      <c r="R10" s="37">
        <v>6093</v>
      </c>
      <c r="S10" s="37">
        <v>60</v>
      </c>
      <c r="T10" s="37">
        <v>60647</v>
      </c>
      <c r="U10" s="42">
        <v>78</v>
      </c>
      <c r="V10" s="7">
        <v>44645</v>
      </c>
      <c r="W10" s="8">
        <v>80</v>
      </c>
      <c r="X10" s="7">
        <v>43378</v>
      </c>
      <c r="Y10" s="8">
        <v>78</v>
      </c>
      <c r="Z10" s="3">
        <v>40544</v>
      </c>
      <c r="AA10" s="81">
        <v>80.28</v>
      </c>
    </row>
    <row r="11" spans="1:27" ht="16.5">
      <c r="A11" s="103" t="s">
        <v>10</v>
      </c>
      <c r="B11" s="117">
        <f>0+6516+875+0+6397+1278</f>
        <v>15066</v>
      </c>
      <c r="C11" s="116">
        <v>59.145746714456394</v>
      </c>
      <c r="D11" s="65">
        <f>33+6018+1173+327+7503+1958</f>
        <v>17012</v>
      </c>
      <c r="E11" s="76">
        <v>64</v>
      </c>
      <c r="F11" s="65">
        <f>36+7142+1607+402+22097+1834</f>
        <v>33118</v>
      </c>
      <c r="G11" s="76">
        <v>70</v>
      </c>
      <c r="H11" s="65">
        <f>27+8466+1223+2531+20395+397</f>
        <v>33039</v>
      </c>
      <c r="I11" s="76">
        <v>73</v>
      </c>
      <c r="J11" s="65">
        <f>655+38578+3352</f>
        <v>42585</v>
      </c>
      <c r="K11" s="57">
        <v>74.490804508629793</v>
      </c>
      <c r="L11" s="37">
        <v>40128</v>
      </c>
      <c r="M11" s="57">
        <v>73.724987041467287</v>
      </c>
      <c r="N11" s="37">
        <v>45768</v>
      </c>
      <c r="O11" s="57">
        <v>76.993749126026913</v>
      </c>
      <c r="P11" s="52">
        <v>38467</v>
      </c>
      <c r="Q11" s="52">
        <v>80.901344009150705</v>
      </c>
      <c r="R11" s="37">
        <v>24123</v>
      </c>
      <c r="S11" s="37">
        <v>87</v>
      </c>
      <c r="T11" s="37">
        <v>27442</v>
      </c>
      <c r="U11" s="42">
        <v>85</v>
      </c>
      <c r="V11" s="7">
        <v>30050</v>
      </c>
      <c r="W11" s="8">
        <v>84</v>
      </c>
      <c r="X11" s="7">
        <v>32805</v>
      </c>
      <c r="Y11" s="8">
        <v>78</v>
      </c>
      <c r="Z11" s="3">
        <v>46796</v>
      </c>
      <c r="AA11" s="81">
        <v>80.239999999999995</v>
      </c>
    </row>
    <row r="12" spans="1:27" ht="16.5">
      <c r="A12" s="103" t="s">
        <v>11</v>
      </c>
      <c r="B12" s="65">
        <f>828+3014+2884+4254</f>
        <v>10980</v>
      </c>
      <c r="C12" s="116">
        <v>52.285788706739531</v>
      </c>
      <c r="D12" s="65">
        <f>858+7183+3097+6052</f>
        <v>17190</v>
      </c>
      <c r="E12" s="76">
        <v>60</v>
      </c>
      <c r="F12" s="65">
        <f>514+7945+6094+2442</f>
        <v>16995</v>
      </c>
      <c r="G12" s="76">
        <v>77</v>
      </c>
      <c r="H12" s="65">
        <f>4531+4126</f>
        <v>8657</v>
      </c>
      <c r="I12" s="76">
        <v>75</v>
      </c>
      <c r="J12" s="65">
        <f>4040+12893</f>
        <v>16933</v>
      </c>
      <c r="K12" s="57">
        <v>69.518527136360959</v>
      </c>
      <c r="L12" s="37">
        <v>9725</v>
      </c>
      <c r="M12" s="57">
        <v>77.891499228791773</v>
      </c>
      <c r="N12" s="37">
        <v>14421</v>
      </c>
      <c r="O12" s="57">
        <v>77.023012273767407</v>
      </c>
      <c r="P12" s="52">
        <v>29193</v>
      </c>
      <c r="Q12" s="52">
        <v>73.067618949748223</v>
      </c>
      <c r="R12" s="37">
        <v>29136</v>
      </c>
      <c r="S12" s="37">
        <v>62</v>
      </c>
      <c r="T12" s="37">
        <v>37962</v>
      </c>
      <c r="U12" s="42">
        <v>73</v>
      </c>
      <c r="V12" s="7">
        <v>11718</v>
      </c>
      <c r="W12" s="8">
        <v>78</v>
      </c>
      <c r="X12" s="7">
        <v>25218</v>
      </c>
      <c r="Y12" s="8">
        <v>72</v>
      </c>
      <c r="Z12" s="3">
        <v>13588</v>
      </c>
      <c r="AA12" s="81">
        <v>76.319999999999993</v>
      </c>
    </row>
    <row r="13" spans="1:27" ht="16.5">
      <c r="A13" s="103" t="s">
        <v>12</v>
      </c>
      <c r="B13" s="65">
        <f>2120+4890</f>
        <v>7010</v>
      </c>
      <c r="C13" s="116">
        <v>33.99289586305278</v>
      </c>
      <c r="D13" s="65">
        <f>1968+11051</f>
        <v>13019</v>
      </c>
      <c r="E13" s="76">
        <v>40</v>
      </c>
      <c r="F13" s="65">
        <f>2909+2999</f>
        <v>5908</v>
      </c>
      <c r="G13" s="76">
        <v>71</v>
      </c>
      <c r="H13" s="65">
        <f>2342+4927</f>
        <v>7269</v>
      </c>
      <c r="I13" s="76">
        <v>60</v>
      </c>
      <c r="J13" s="65">
        <v>112994</v>
      </c>
      <c r="K13" s="57">
        <v>39.376700975273017</v>
      </c>
      <c r="L13" s="37">
        <v>103744</v>
      </c>
      <c r="M13" s="57">
        <v>38.802177860888342</v>
      </c>
      <c r="N13" s="37">
        <v>166429</v>
      </c>
      <c r="O13" s="57">
        <v>40.914472297496232</v>
      </c>
      <c r="P13" s="52">
        <v>127826</v>
      </c>
      <c r="Q13" s="52">
        <v>43.025198472924131</v>
      </c>
      <c r="R13" s="37">
        <v>130539</v>
      </c>
      <c r="S13" s="37">
        <v>39</v>
      </c>
      <c r="T13" s="37">
        <v>13799</v>
      </c>
      <c r="U13" s="42">
        <v>66</v>
      </c>
      <c r="V13" s="7">
        <v>29019</v>
      </c>
      <c r="W13" s="8">
        <v>70</v>
      </c>
      <c r="X13" s="7">
        <v>20832</v>
      </c>
      <c r="Y13" s="8">
        <v>70</v>
      </c>
      <c r="Z13" s="3">
        <v>28461</v>
      </c>
      <c r="AA13" s="81">
        <v>73.55</v>
      </c>
    </row>
    <row r="14" spans="1:27" ht="16.5">
      <c r="A14" s="103" t="s">
        <v>13</v>
      </c>
      <c r="B14" s="65">
        <f>794+4128</f>
        <v>4922</v>
      </c>
      <c r="C14" s="116">
        <v>67.789796830556682</v>
      </c>
      <c r="D14" s="65">
        <f>2116+2424</f>
        <v>4540</v>
      </c>
      <c r="E14" s="76">
        <v>66</v>
      </c>
      <c r="F14" s="65">
        <f>663+2941</f>
        <v>3604</v>
      </c>
      <c r="G14" s="76">
        <v>66</v>
      </c>
      <c r="H14" s="65">
        <f>1351+2315</f>
        <v>3666</v>
      </c>
      <c r="I14" s="76">
        <v>65</v>
      </c>
      <c r="J14" s="65">
        <v>3436</v>
      </c>
      <c r="K14" s="57">
        <v>73</v>
      </c>
      <c r="L14" s="37">
        <v>1588</v>
      </c>
      <c r="M14" s="57">
        <v>69.58</v>
      </c>
      <c r="N14" s="37">
        <v>2342</v>
      </c>
      <c r="O14" s="57">
        <v>66.739999999999995</v>
      </c>
      <c r="P14" s="52">
        <v>5252</v>
      </c>
      <c r="Q14" s="52">
        <v>66</v>
      </c>
      <c r="R14" s="37">
        <v>5072</v>
      </c>
      <c r="S14" s="37">
        <v>16</v>
      </c>
      <c r="T14" s="37">
        <v>4240</v>
      </c>
      <c r="U14" s="42">
        <v>75</v>
      </c>
      <c r="V14" s="7">
        <v>6186</v>
      </c>
      <c r="W14" s="8">
        <v>85</v>
      </c>
      <c r="X14" s="7">
        <v>5953</v>
      </c>
      <c r="Y14" s="8">
        <v>70</v>
      </c>
      <c r="Z14" s="3">
        <v>2214</v>
      </c>
      <c r="AA14" s="81">
        <v>74.12</v>
      </c>
    </row>
    <row r="15" spans="1:27" ht="54" customHeight="1">
      <c r="A15" s="103" t="s">
        <v>26</v>
      </c>
      <c r="B15" s="65">
        <f>132+322+113+360+39+10+282+718</f>
        <v>1976</v>
      </c>
      <c r="C15" s="116">
        <v>64.25500000000001</v>
      </c>
      <c r="D15" s="65">
        <f>403+230+322+10+153+1365+717+1805</f>
        <v>5005</v>
      </c>
      <c r="E15" s="76">
        <v>61</v>
      </c>
      <c r="F15" s="65">
        <f>337+215+1288+639</f>
        <v>2479</v>
      </c>
      <c r="G15" s="76">
        <v>78</v>
      </c>
      <c r="H15" s="65">
        <f>332+213+1118+587+1211+1784</f>
        <v>5245</v>
      </c>
      <c r="I15" s="76">
        <v>63</v>
      </c>
      <c r="J15" s="65">
        <f>654+38+1264+2566</f>
        <v>4522</v>
      </c>
      <c r="K15" s="57">
        <v>65.668872180451132</v>
      </c>
      <c r="L15" s="37">
        <v>3571</v>
      </c>
      <c r="M15" s="57">
        <v>66.048347801736213</v>
      </c>
      <c r="N15" s="37">
        <v>7781</v>
      </c>
      <c r="O15" s="57">
        <v>67.837519599023267</v>
      </c>
      <c r="P15" s="52">
        <v>5846</v>
      </c>
      <c r="Q15" s="52">
        <v>67.179267875470401</v>
      </c>
      <c r="R15" s="37">
        <v>4330</v>
      </c>
      <c r="S15" s="37">
        <v>79</v>
      </c>
      <c r="T15" s="37">
        <v>5275</v>
      </c>
      <c r="U15" s="42">
        <v>72</v>
      </c>
      <c r="V15" s="7">
        <v>22431</v>
      </c>
      <c r="W15" s="8">
        <v>66</v>
      </c>
      <c r="X15" s="7">
        <v>4160</v>
      </c>
      <c r="Y15" s="8">
        <v>68</v>
      </c>
      <c r="Z15" s="3">
        <v>7605</v>
      </c>
      <c r="AA15" s="81">
        <v>63.67</v>
      </c>
    </row>
    <row r="16" spans="1:27" ht="16.5">
      <c r="A16" s="103" t="s">
        <v>14</v>
      </c>
      <c r="B16" s="65">
        <f>14186+7300</f>
        <v>21486</v>
      </c>
      <c r="C16" s="116">
        <v>43.308585125197808</v>
      </c>
      <c r="D16" s="65">
        <f>14269+8652</f>
        <v>22921</v>
      </c>
      <c r="E16" s="76">
        <v>49</v>
      </c>
      <c r="F16" s="65">
        <f>13392+8091</f>
        <v>21483</v>
      </c>
      <c r="G16" s="76">
        <v>70</v>
      </c>
      <c r="H16" s="65">
        <f>13065+9446</f>
        <v>22511</v>
      </c>
      <c r="I16" s="76">
        <v>69</v>
      </c>
      <c r="J16" s="65">
        <v>23037</v>
      </c>
      <c r="K16" s="57">
        <v>71</v>
      </c>
      <c r="L16" s="37">
        <v>23358</v>
      </c>
      <c r="M16" s="57">
        <v>71.47</v>
      </c>
      <c r="N16" s="37">
        <v>23849</v>
      </c>
      <c r="O16" s="57">
        <v>70.88</v>
      </c>
      <c r="P16" s="52">
        <v>1842</v>
      </c>
      <c r="Q16" s="52">
        <v>69</v>
      </c>
      <c r="R16" s="37">
        <v>24729</v>
      </c>
      <c r="S16" s="37">
        <v>71</v>
      </c>
      <c r="T16" s="37">
        <v>26179</v>
      </c>
      <c r="U16" s="42">
        <v>71</v>
      </c>
      <c r="V16" s="7">
        <v>2746</v>
      </c>
      <c r="W16" s="8">
        <v>61</v>
      </c>
      <c r="X16" s="7">
        <v>2304</v>
      </c>
      <c r="Y16" s="8">
        <v>66</v>
      </c>
      <c r="Z16" s="3">
        <v>6374</v>
      </c>
      <c r="AA16" s="81">
        <v>58.99</v>
      </c>
    </row>
    <row r="17" spans="1:27" ht="16.5">
      <c r="A17" s="103" t="s">
        <v>15</v>
      </c>
      <c r="B17" s="65">
        <f>2885+48+4617+1763</f>
        <v>9313</v>
      </c>
      <c r="C17" s="116">
        <v>49.085829485665201</v>
      </c>
      <c r="D17" s="65">
        <f>1992+192+3744+70</f>
        <v>5998</v>
      </c>
      <c r="E17" s="76">
        <v>50</v>
      </c>
      <c r="F17" s="65">
        <f>1415+155+100+4225</f>
        <v>5895</v>
      </c>
      <c r="G17" s="76">
        <v>54</v>
      </c>
      <c r="H17" s="65">
        <f>162+93</f>
        <v>255</v>
      </c>
      <c r="I17" s="76">
        <v>50</v>
      </c>
      <c r="J17" s="65">
        <v>5016</v>
      </c>
      <c r="K17" s="57">
        <v>56</v>
      </c>
      <c r="L17" s="37">
        <v>4188</v>
      </c>
      <c r="M17" s="57">
        <v>58.39</v>
      </c>
      <c r="N17" s="37">
        <v>6538</v>
      </c>
      <c r="O17" s="57">
        <v>55.6</v>
      </c>
      <c r="P17" s="52">
        <v>8666</v>
      </c>
      <c r="Q17" s="52">
        <v>64.680244634202637</v>
      </c>
      <c r="R17" s="37">
        <v>4058</v>
      </c>
      <c r="S17" s="37">
        <v>60</v>
      </c>
      <c r="T17" s="37">
        <v>8611</v>
      </c>
      <c r="U17" s="42">
        <v>61</v>
      </c>
      <c r="V17" s="7">
        <v>17363</v>
      </c>
      <c r="W17" s="8">
        <v>51</v>
      </c>
      <c r="X17" s="7">
        <v>9861</v>
      </c>
      <c r="Y17" s="8">
        <v>60</v>
      </c>
      <c r="Z17" s="3">
        <v>11055</v>
      </c>
      <c r="AA17" s="81">
        <v>58.87</v>
      </c>
    </row>
    <row r="18" spans="1:27" ht="31.5">
      <c r="A18" s="103" t="s">
        <v>16</v>
      </c>
      <c r="B18" s="65">
        <f>17954+16718</f>
        <v>34672</v>
      </c>
      <c r="C18" s="116">
        <v>46.053840562990302</v>
      </c>
      <c r="D18" s="65">
        <f>25273+20343</f>
        <v>45616</v>
      </c>
      <c r="E18" s="76">
        <v>56</v>
      </c>
      <c r="F18" s="65">
        <f>18246+19367</f>
        <v>37613</v>
      </c>
      <c r="G18" s="76">
        <v>59</v>
      </c>
      <c r="H18" s="65">
        <f>14565+15535</f>
        <v>30100</v>
      </c>
      <c r="I18" s="76">
        <v>58</v>
      </c>
      <c r="J18" s="65">
        <v>39768</v>
      </c>
      <c r="K18" s="57">
        <v>62</v>
      </c>
      <c r="L18" s="37">
        <v>47222</v>
      </c>
      <c r="M18" s="57">
        <v>69.709999999999994</v>
      </c>
      <c r="N18" s="37">
        <v>53640</v>
      </c>
      <c r="O18" s="57">
        <v>64.400000000000006</v>
      </c>
      <c r="P18" s="52">
        <v>36538</v>
      </c>
      <c r="Q18" s="52">
        <v>62</v>
      </c>
      <c r="R18" s="37">
        <v>27149</v>
      </c>
      <c r="S18" s="37">
        <v>60</v>
      </c>
      <c r="T18" s="37">
        <v>45349</v>
      </c>
      <c r="U18" s="42">
        <v>60</v>
      </c>
      <c r="V18" s="7">
        <v>105715</v>
      </c>
      <c r="W18" s="8">
        <v>58</v>
      </c>
      <c r="X18" s="7">
        <v>125021</v>
      </c>
      <c r="Y18" s="8">
        <v>58</v>
      </c>
      <c r="Z18" s="3">
        <v>51377</v>
      </c>
      <c r="AA18" s="81">
        <v>58.07</v>
      </c>
    </row>
    <row r="19" spans="1:27" ht="16.5">
      <c r="A19" s="112" t="s">
        <v>17</v>
      </c>
      <c r="B19" s="38">
        <f>7251+20446</f>
        <v>27697</v>
      </c>
      <c r="C19" s="116">
        <v>46.002544318879309</v>
      </c>
      <c r="D19" s="104">
        <f>5095+11665</f>
        <v>16760</v>
      </c>
      <c r="E19" s="76">
        <v>50</v>
      </c>
      <c r="F19" s="38">
        <f>6123+9776</f>
        <v>15899</v>
      </c>
      <c r="G19" s="76">
        <v>53</v>
      </c>
      <c r="H19" s="38">
        <f>5070+11363</f>
        <v>16433</v>
      </c>
      <c r="I19" s="76">
        <v>53</v>
      </c>
      <c r="J19" s="38">
        <v>18617</v>
      </c>
      <c r="K19" s="57">
        <v>51</v>
      </c>
      <c r="L19" s="38">
        <v>17205</v>
      </c>
      <c r="M19" s="58">
        <v>54.19</v>
      </c>
      <c r="N19" s="38">
        <v>24513</v>
      </c>
      <c r="O19" s="58">
        <v>57.614374005629671</v>
      </c>
      <c r="P19" s="53">
        <v>17910</v>
      </c>
      <c r="Q19" s="53">
        <v>53.999999999999993</v>
      </c>
      <c r="R19" s="38">
        <v>12237</v>
      </c>
      <c r="S19" s="38">
        <v>49</v>
      </c>
      <c r="T19" s="38">
        <v>18824</v>
      </c>
      <c r="U19" s="43">
        <v>59</v>
      </c>
      <c r="V19" s="7">
        <v>12641</v>
      </c>
      <c r="W19" s="8">
        <v>50</v>
      </c>
      <c r="X19" s="7">
        <v>21021</v>
      </c>
      <c r="Y19" s="8">
        <v>56</v>
      </c>
      <c r="Z19" s="3">
        <v>16593</v>
      </c>
      <c r="AA19" s="81">
        <v>63.38</v>
      </c>
    </row>
    <row r="20" spans="1:27" ht="16.5">
      <c r="A20" s="103" t="s">
        <v>18</v>
      </c>
      <c r="B20" s="65">
        <f>2587+4469</f>
        <v>7056</v>
      </c>
      <c r="C20" s="116">
        <v>42.160099206349209</v>
      </c>
      <c r="D20" s="65">
        <f>2539+4165</f>
        <v>6704</v>
      </c>
      <c r="E20" s="76">
        <v>42</v>
      </c>
      <c r="F20" s="65">
        <f>2084+2487</f>
        <v>4571</v>
      </c>
      <c r="G20" s="76">
        <v>50</v>
      </c>
      <c r="H20" s="65">
        <f>2324+3852</f>
        <v>6176</v>
      </c>
      <c r="I20" s="76">
        <v>52</v>
      </c>
      <c r="J20" s="65">
        <v>6288</v>
      </c>
      <c r="K20" s="57">
        <v>48</v>
      </c>
      <c r="L20" s="37">
        <v>3285</v>
      </c>
      <c r="M20" s="57">
        <v>40.380000000000003</v>
      </c>
      <c r="N20" s="37">
        <v>4459</v>
      </c>
      <c r="O20" s="57">
        <v>51.18</v>
      </c>
      <c r="P20" s="52">
        <v>4797</v>
      </c>
      <c r="Q20" s="52">
        <v>58.000000000000007</v>
      </c>
      <c r="R20" s="37">
        <v>2952</v>
      </c>
      <c r="S20" s="37">
        <v>45</v>
      </c>
      <c r="T20" s="37">
        <v>6476</v>
      </c>
      <c r="U20" s="42">
        <v>51</v>
      </c>
      <c r="V20" s="7">
        <v>6165</v>
      </c>
      <c r="W20" s="8">
        <v>46</v>
      </c>
      <c r="X20" s="7">
        <v>4083</v>
      </c>
      <c r="Y20" s="8">
        <v>55</v>
      </c>
      <c r="Z20" s="3">
        <v>4829</v>
      </c>
      <c r="AA20" s="81">
        <v>52.31</v>
      </c>
    </row>
    <row r="21" spans="1:27" ht="16.5">
      <c r="A21" s="112" t="s">
        <v>19</v>
      </c>
      <c r="B21" s="38">
        <f>89847+26686</f>
        <v>116533</v>
      </c>
      <c r="C21" s="116">
        <v>55.53439163155501</v>
      </c>
      <c r="D21" s="104">
        <f>93499+43686</f>
        <v>137185</v>
      </c>
      <c r="E21" s="76">
        <v>58</v>
      </c>
      <c r="F21" s="38">
        <f>52683+53363</f>
        <v>106046</v>
      </c>
      <c r="G21" s="76">
        <v>52</v>
      </c>
      <c r="H21" s="38">
        <f>43705+44009</f>
        <v>87714</v>
      </c>
      <c r="I21" s="76">
        <v>51</v>
      </c>
      <c r="J21" s="38">
        <v>97979</v>
      </c>
      <c r="K21" s="57">
        <v>53</v>
      </c>
      <c r="L21" s="38">
        <v>71809</v>
      </c>
      <c r="M21" s="58">
        <v>54.4</v>
      </c>
      <c r="N21" s="38">
        <v>86336</v>
      </c>
      <c r="O21" s="58">
        <v>55.59</v>
      </c>
      <c r="P21" s="53">
        <v>136159</v>
      </c>
      <c r="Q21" s="53">
        <v>55.999999999999993</v>
      </c>
      <c r="R21" s="38">
        <v>69931</v>
      </c>
      <c r="S21" s="38">
        <v>57</v>
      </c>
      <c r="T21" s="38">
        <v>123420</v>
      </c>
      <c r="U21" s="43">
        <v>60</v>
      </c>
      <c r="V21" s="7">
        <v>80867</v>
      </c>
      <c r="W21" s="8">
        <v>53</v>
      </c>
      <c r="X21" s="7">
        <v>99289</v>
      </c>
      <c r="Y21" s="8">
        <v>55</v>
      </c>
      <c r="Z21" s="3">
        <v>119932</v>
      </c>
      <c r="AA21" s="81">
        <v>51.78</v>
      </c>
    </row>
    <row r="22" spans="1:27" ht="16.5">
      <c r="A22" s="112" t="s">
        <v>20</v>
      </c>
      <c r="B22" s="38">
        <f>3187+11889</f>
        <v>15076</v>
      </c>
      <c r="C22" s="116">
        <v>30.544913770230835</v>
      </c>
      <c r="D22" s="104">
        <f>2100+9952</f>
        <v>12052</v>
      </c>
      <c r="E22" s="76">
        <v>36</v>
      </c>
      <c r="F22" s="38">
        <f>1762+7119</f>
        <v>8881</v>
      </c>
      <c r="G22" s="76">
        <v>50</v>
      </c>
      <c r="H22" s="38">
        <f>2580+14143</f>
        <v>16723</v>
      </c>
      <c r="I22" s="76">
        <v>46</v>
      </c>
      <c r="J22" s="38">
        <v>13419</v>
      </c>
      <c r="K22" s="57">
        <v>49</v>
      </c>
      <c r="L22" s="38">
        <v>11200</v>
      </c>
      <c r="M22" s="58">
        <v>48.28</v>
      </c>
      <c r="N22" s="38">
        <v>13851</v>
      </c>
      <c r="O22" s="58">
        <v>55.61</v>
      </c>
      <c r="P22" s="53">
        <v>22402</v>
      </c>
      <c r="Q22" s="53">
        <v>45</v>
      </c>
      <c r="R22" s="38">
        <v>10082</v>
      </c>
      <c r="S22" s="38">
        <v>61</v>
      </c>
      <c r="T22" s="38">
        <v>21251</v>
      </c>
      <c r="U22" s="43">
        <v>48</v>
      </c>
      <c r="V22" s="7">
        <v>20869</v>
      </c>
      <c r="W22" s="8">
        <v>35</v>
      </c>
      <c r="X22" s="7">
        <v>7917</v>
      </c>
      <c r="Y22" s="8">
        <v>52</v>
      </c>
      <c r="Z22" s="3">
        <v>13221</v>
      </c>
      <c r="AA22" s="81">
        <v>48.99</v>
      </c>
    </row>
    <row r="23" spans="1:27" ht="16.5">
      <c r="A23" s="113" t="s">
        <v>21</v>
      </c>
      <c r="B23" s="66">
        <f>258+82+34+1546+1652+201</f>
        <v>3773</v>
      </c>
      <c r="C23" s="116">
        <v>40.594089583885498</v>
      </c>
      <c r="D23" s="66">
        <f>4922+435+11867+3895</f>
        <v>21119</v>
      </c>
      <c r="E23" s="76">
        <v>47</v>
      </c>
      <c r="F23" s="66">
        <f>7646+74+1869+6518</f>
        <v>16107</v>
      </c>
      <c r="G23" s="76">
        <v>57.999999999999993</v>
      </c>
      <c r="H23" s="66">
        <f>3130+6192</f>
        <v>9322</v>
      </c>
      <c r="I23" s="76">
        <v>62</v>
      </c>
      <c r="J23" s="66">
        <v>13217</v>
      </c>
      <c r="K23" s="57">
        <v>53.911419384126503</v>
      </c>
      <c r="L23" s="39">
        <v>4845</v>
      </c>
      <c r="M23" s="59">
        <v>42.674464396284826</v>
      </c>
      <c r="N23" s="39">
        <v>15015</v>
      </c>
      <c r="O23" s="59">
        <v>46.373610389610391</v>
      </c>
      <c r="P23" s="54">
        <v>15385</v>
      </c>
      <c r="Q23" s="54">
        <v>46.897562560935974</v>
      </c>
      <c r="R23" s="39">
        <v>6618</v>
      </c>
      <c r="S23" s="39">
        <v>33</v>
      </c>
      <c r="T23" s="39">
        <v>33521</v>
      </c>
      <c r="U23" s="44">
        <v>49</v>
      </c>
      <c r="V23" s="7">
        <v>14363</v>
      </c>
      <c r="W23" s="8">
        <v>35</v>
      </c>
      <c r="X23" s="7">
        <v>14230</v>
      </c>
      <c r="Y23" s="8">
        <v>48</v>
      </c>
      <c r="Z23" s="3">
        <v>19239</v>
      </c>
      <c r="AA23" s="81">
        <v>51.61</v>
      </c>
    </row>
    <row r="24" spans="1:27" ht="16.5">
      <c r="A24" s="112" t="s">
        <v>70</v>
      </c>
      <c r="B24" s="38" t="s">
        <v>69</v>
      </c>
      <c r="C24" s="116">
        <v>0</v>
      </c>
      <c r="D24" s="38" t="s">
        <v>0</v>
      </c>
      <c r="E24" s="76" t="s">
        <v>0</v>
      </c>
      <c r="F24" s="38" t="s">
        <v>69</v>
      </c>
      <c r="G24" s="76" t="s">
        <v>69</v>
      </c>
      <c r="H24" s="38" t="s">
        <v>69</v>
      </c>
      <c r="I24" s="76" t="s">
        <v>69</v>
      </c>
      <c r="J24" s="38" t="s">
        <v>69</v>
      </c>
      <c r="K24" s="57" t="s">
        <v>69</v>
      </c>
      <c r="L24" s="38" t="s">
        <v>0</v>
      </c>
      <c r="M24" s="58" t="s">
        <v>0</v>
      </c>
      <c r="N24" s="38" t="s">
        <v>0</v>
      </c>
      <c r="O24" s="58" t="s">
        <v>0</v>
      </c>
      <c r="P24" s="53">
        <v>1294</v>
      </c>
      <c r="Q24" s="53">
        <v>53</v>
      </c>
      <c r="R24" s="38">
        <v>1077</v>
      </c>
      <c r="S24" s="38">
        <v>0</v>
      </c>
      <c r="T24" s="38">
        <v>159807</v>
      </c>
      <c r="U24" s="43">
        <v>45</v>
      </c>
      <c r="V24" s="7">
        <v>80496</v>
      </c>
      <c r="W24" s="8">
        <v>48</v>
      </c>
      <c r="X24" s="7">
        <v>73457</v>
      </c>
      <c r="Y24" s="8">
        <v>36</v>
      </c>
      <c r="Z24" s="3">
        <v>1747</v>
      </c>
      <c r="AA24" s="81">
        <v>66.63</v>
      </c>
    </row>
    <row r="25" spans="1:27" ht="17.25" thickBot="1">
      <c r="A25" s="114" t="s">
        <v>22</v>
      </c>
      <c r="B25" s="67">
        <f>1+1</f>
        <v>2</v>
      </c>
      <c r="C25" s="118">
        <v>50</v>
      </c>
      <c r="D25" s="67">
        <f>3+0+208+4</f>
        <v>215</v>
      </c>
      <c r="E25" s="80">
        <v>19</v>
      </c>
      <c r="F25" s="67">
        <f>27+5+273+8</f>
        <v>313</v>
      </c>
      <c r="G25" s="80">
        <v>27</v>
      </c>
      <c r="H25" s="67">
        <f>13+6+214+8</f>
        <v>241</v>
      </c>
      <c r="I25" s="80">
        <v>22</v>
      </c>
      <c r="J25" s="67">
        <v>24</v>
      </c>
      <c r="K25" s="60">
        <v>87.669166666666669</v>
      </c>
      <c r="L25" s="40">
        <v>474</v>
      </c>
      <c r="M25" s="60">
        <v>90.51</v>
      </c>
      <c r="N25" s="40">
        <v>623</v>
      </c>
      <c r="O25" s="60">
        <v>45.673595505617975</v>
      </c>
      <c r="P25" s="55">
        <v>708</v>
      </c>
      <c r="Q25" s="55">
        <v>48.161016949152533</v>
      </c>
      <c r="R25" s="40">
        <v>3669</v>
      </c>
      <c r="S25" s="40">
        <v>65</v>
      </c>
      <c r="T25" s="40">
        <v>842</v>
      </c>
      <c r="U25" s="45">
        <v>78</v>
      </c>
      <c r="V25" s="16">
        <v>13</v>
      </c>
      <c r="W25" s="17">
        <v>60</v>
      </c>
      <c r="X25" s="16" t="s">
        <v>0</v>
      </c>
      <c r="Y25" s="17" t="s">
        <v>0</v>
      </c>
      <c r="Z25" s="18">
        <v>86545</v>
      </c>
      <c r="AA25" s="82">
        <v>40.200000000000003</v>
      </c>
    </row>
    <row r="26" spans="1:27" ht="16.5">
      <c r="A26" s="105" t="s">
        <v>81</v>
      </c>
      <c r="B26" s="9"/>
      <c r="C26" s="9"/>
      <c r="D26" s="9"/>
      <c r="E26" s="9"/>
      <c r="F26" s="62"/>
      <c r="G26" s="9"/>
      <c r="H26" s="62"/>
      <c r="I26" s="9"/>
      <c r="J26" s="62"/>
      <c r="K26" s="9"/>
      <c r="L26" s="9"/>
      <c r="M26" s="9"/>
      <c r="N26" s="9"/>
      <c r="O26" s="9"/>
      <c r="P26" s="9"/>
      <c r="Q26" s="9"/>
    </row>
    <row r="27" spans="1:27" ht="50.1" customHeight="1">
      <c r="A27" s="129" t="s">
        <v>24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30"/>
      <c r="S27" s="130"/>
    </row>
    <row r="28" spans="1:27">
      <c r="F28" s="83"/>
      <c r="G28" s="3"/>
    </row>
    <row r="29" spans="1:27">
      <c r="F29" s="83"/>
      <c r="G29" s="3"/>
    </row>
    <row r="30" spans="1:27">
      <c r="F30" s="83"/>
      <c r="G30" s="3"/>
    </row>
    <row r="31" spans="1:27">
      <c r="F31" s="83"/>
      <c r="G31" s="3"/>
    </row>
    <row r="32" spans="1:27">
      <c r="F32" s="83"/>
      <c r="G32" s="3"/>
    </row>
    <row r="33" spans="6:16">
      <c r="F33" s="83"/>
      <c r="G33" s="3"/>
    </row>
    <row r="34" spans="6:16">
      <c r="F34" s="83"/>
      <c r="G34" s="3"/>
    </row>
    <row r="35" spans="6:16">
      <c r="F35" s="83"/>
      <c r="G35" s="3"/>
      <c r="P35" s="47"/>
    </row>
    <row r="36" spans="6:16">
      <c r="F36" s="83"/>
      <c r="G36" s="3"/>
    </row>
    <row r="37" spans="6:16">
      <c r="F37" s="83"/>
      <c r="G37" s="3"/>
    </row>
  </sheetData>
  <mergeCells count="30">
    <mergeCell ref="A27:S27"/>
    <mergeCell ref="A3:A5"/>
    <mergeCell ref="T3:U3"/>
    <mergeCell ref="J3:K3"/>
    <mergeCell ref="H3:I3"/>
    <mergeCell ref="H4:H5"/>
    <mergeCell ref="F4:F5"/>
    <mergeCell ref="D3:E3"/>
    <mergeCell ref="D4:D5"/>
    <mergeCell ref="B4:B5"/>
    <mergeCell ref="J4:J5"/>
    <mergeCell ref="L4:L5"/>
    <mergeCell ref="N4:N5"/>
    <mergeCell ref="P4:P5"/>
    <mergeCell ref="R4:R5"/>
    <mergeCell ref="T4:T5"/>
    <mergeCell ref="V4:V5"/>
    <mergeCell ref="X4:X5"/>
    <mergeCell ref="Z4:Z5"/>
    <mergeCell ref="A1:W1"/>
    <mergeCell ref="V3:W3"/>
    <mergeCell ref="X3:Y3"/>
    <mergeCell ref="R3:S3"/>
    <mergeCell ref="A2:S2"/>
    <mergeCell ref="P3:Q3"/>
    <mergeCell ref="N3:O3"/>
    <mergeCell ref="L3:M3"/>
    <mergeCell ref="F3:G3"/>
    <mergeCell ref="B3:C3"/>
    <mergeCell ref="Z3:AA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2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9"/>
  <sheetViews>
    <sheetView workbookViewId="0">
      <selection activeCell="B14" sqref="B14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60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388557</v>
      </c>
      <c r="C5" s="6">
        <v>55</v>
      </c>
    </row>
    <row r="6" spans="1:3">
      <c r="A6" s="1" t="s">
        <v>30</v>
      </c>
      <c r="B6" s="7">
        <v>12521</v>
      </c>
      <c r="C6" s="8">
        <v>83</v>
      </c>
    </row>
    <row r="7" spans="1:3">
      <c r="A7" s="1" t="s">
        <v>31</v>
      </c>
      <c r="B7" s="23">
        <v>6196</v>
      </c>
      <c r="C7" s="8">
        <v>84</v>
      </c>
    </row>
    <row r="8" spans="1:3">
      <c r="A8" s="1" t="s">
        <v>32</v>
      </c>
      <c r="B8" s="7">
        <v>8045</v>
      </c>
      <c r="C8" s="8">
        <v>74</v>
      </c>
    </row>
    <row r="9" spans="1:3">
      <c r="A9" s="1" t="s">
        <v>33</v>
      </c>
      <c r="B9" s="7">
        <v>6093</v>
      </c>
      <c r="C9" s="8">
        <v>60</v>
      </c>
    </row>
    <row r="10" spans="1:3">
      <c r="A10" s="1" t="s">
        <v>34</v>
      </c>
      <c r="B10" s="7">
        <v>24123</v>
      </c>
      <c r="C10" s="8">
        <v>87</v>
      </c>
    </row>
    <row r="11" spans="1:3">
      <c r="A11" s="1" t="s">
        <v>35</v>
      </c>
      <c r="B11" s="7">
        <v>29136</v>
      </c>
      <c r="C11" s="8">
        <v>62</v>
      </c>
    </row>
    <row r="12" spans="1:3">
      <c r="A12" s="1" t="s">
        <v>36</v>
      </c>
      <c r="B12" s="7">
        <v>130539</v>
      </c>
      <c r="C12" s="8">
        <v>39</v>
      </c>
    </row>
    <row r="13" spans="1:3">
      <c r="A13" s="1" t="s">
        <v>37</v>
      </c>
      <c r="B13" s="7">
        <v>5072</v>
      </c>
      <c r="C13" s="8">
        <v>16</v>
      </c>
    </row>
    <row r="14" spans="1:3" ht="27">
      <c r="A14" s="1" t="s">
        <v>38</v>
      </c>
      <c r="B14" s="7">
        <v>4330</v>
      </c>
      <c r="C14" s="8">
        <v>79</v>
      </c>
    </row>
    <row r="15" spans="1:3">
      <c r="A15" s="1" t="s">
        <v>39</v>
      </c>
      <c r="B15" s="7">
        <v>24729</v>
      </c>
      <c r="C15" s="8">
        <v>71</v>
      </c>
    </row>
    <row r="16" spans="1:3" ht="27">
      <c r="A16" s="1" t="s">
        <v>40</v>
      </c>
      <c r="B16" s="7">
        <v>4058</v>
      </c>
      <c r="C16" s="8">
        <v>60</v>
      </c>
    </row>
    <row r="17" spans="1:3">
      <c r="A17" s="1" t="s">
        <v>41</v>
      </c>
      <c r="B17" s="7">
        <v>27149</v>
      </c>
      <c r="C17" s="8">
        <v>60</v>
      </c>
    </row>
    <row r="18" spans="1:3">
      <c r="A18" s="10" t="s">
        <v>42</v>
      </c>
      <c r="B18" s="7">
        <v>12237</v>
      </c>
      <c r="C18" s="8">
        <v>49</v>
      </c>
    </row>
    <row r="19" spans="1:3">
      <c r="A19" s="1" t="s">
        <v>43</v>
      </c>
      <c r="B19" s="7">
        <v>2952</v>
      </c>
      <c r="C19" s="8">
        <v>45</v>
      </c>
    </row>
    <row r="20" spans="1:3">
      <c r="A20" s="10" t="s">
        <v>44</v>
      </c>
      <c r="B20" s="7">
        <v>69931</v>
      </c>
      <c r="C20" s="8">
        <v>57</v>
      </c>
    </row>
    <row r="21" spans="1:3">
      <c r="A21" s="10" t="s">
        <v>45</v>
      </c>
      <c r="B21" s="7">
        <v>10082</v>
      </c>
      <c r="C21" s="8">
        <v>61</v>
      </c>
    </row>
    <row r="22" spans="1:3">
      <c r="A22" s="11" t="s">
        <v>46</v>
      </c>
      <c r="B22" s="7">
        <v>6618</v>
      </c>
      <c r="C22" s="8">
        <v>33</v>
      </c>
    </row>
    <row r="23" spans="1:3">
      <c r="A23" s="10" t="s">
        <v>47</v>
      </c>
      <c r="B23" s="7">
        <v>1077</v>
      </c>
      <c r="C23" s="8">
        <v>0</v>
      </c>
    </row>
    <row r="24" spans="1:3" ht="15.75" thickBot="1">
      <c r="A24" s="12" t="s">
        <v>48</v>
      </c>
      <c r="B24" s="24">
        <v>3669</v>
      </c>
      <c r="C24" s="25">
        <v>65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9"/>
  <sheetViews>
    <sheetView topLeftCell="A10" workbookViewId="0">
      <selection activeCell="B23" sqref="B23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59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632024</v>
      </c>
      <c r="C5" s="6">
        <v>61</v>
      </c>
    </row>
    <row r="6" spans="1:3">
      <c r="A6" s="1" t="s">
        <v>30</v>
      </c>
      <c r="B6" s="7">
        <v>15983</v>
      </c>
      <c r="C6" s="8">
        <v>76</v>
      </c>
    </row>
    <row r="7" spans="1:3">
      <c r="A7" s="1" t="s">
        <v>31</v>
      </c>
      <c r="B7" s="23">
        <v>6958</v>
      </c>
      <c r="C7" s="8">
        <v>81</v>
      </c>
    </row>
    <row r="8" spans="1:3">
      <c r="A8" s="1" t="s">
        <v>32</v>
      </c>
      <c r="B8" s="7">
        <v>15438</v>
      </c>
      <c r="C8" s="8">
        <v>75</v>
      </c>
    </row>
    <row r="9" spans="1:3">
      <c r="A9" s="1" t="s">
        <v>33</v>
      </c>
      <c r="B9" s="7">
        <v>60647</v>
      </c>
      <c r="C9" s="8">
        <v>78</v>
      </c>
    </row>
    <row r="10" spans="1:3">
      <c r="A10" s="1" t="s">
        <v>34</v>
      </c>
      <c r="B10" s="7">
        <v>27442</v>
      </c>
      <c r="C10" s="8">
        <v>85</v>
      </c>
    </row>
    <row r="11" spans="1:3">
      <c r="A11" s="1" t="s">
        <v>35</v>
      </c>
      <c r="B11" s="7">
        <v>37962</v>
      </c>
      <c r="C11" s="8">
        <v>73</v>
      </c>
    </row>
    <row r="12" spans="1:3">
      <c r="A12" s="1" t="s">
        <v>36</v>
      </c>
      <c r="B12" s="7">
        <v>13799</v>
      </c>
      <c r="C12" s="8">
        <v>66</v>
      </c>
    </row>
    <row r="13" spans="1:3">
      <c r="A13" s="1" t="s">
        <v>37</v>
      </c>
      <c r="B13" s="7">
        <v>4240</v>
      </c>
      <c r="C13" s="8">
        <v>75</v>
      </c>
    </row>
    <row r="14" spans="1:3" ht="27">
      <c r="A14" s="1" t="s">
        <v>38</v>
      </c>
      <c r="B14" s="7">
        <v>5275</v>
      </c>
      <c r="C14" s="8">
        <v>72</v>
      </c>
    </row>
    <row r="15" spans="1:3">
      <c r="A15" s="1" t="s">
        <v>39</v>
      </c>
      <c r="B15" s="7">
        <v>26179</v>
      </c>
      <c r="C15" s="8">
        <v>71</v>
      </c>
    </row>
    <row r="16" spans="1:3" ht="27">
      <c r="A16" s="1" t="s">
        <v>40</v>
      </c>
      <c r="B16" s="7">
        <v>8611</v>
      </c>
      <c r="C16" s="8">
        <v>61</v>
      </c>
    </row>
    <row r="17" spans="1:3">
      <c r="A17" s="1" t="s">
        <v>41</v>
      </c>
      <c r="B17" s="7">
        <v>45349</v>
      </c>
      <c r="C17" s="8">
        <v>60</v>
      </c>
    </row>
    <row r="18" spans="1:3">
      <c r="A18" s="10" t="s">
        <v>42</v>
      </c>
      <c r="B18" s="7">
        <v>18824</v>
      </c>
      <c r="C18" s="8">
        <v>59</v>
      </c>
    </row>
    <row r="19" spans="1:3">
      <c r="A19" s="1" t="s">
        <v>43</v>
      </c>
      <c r="B19" s="7">
        <v>6476</v>
      </c>
      <c r="C19" s="8">
        <v>51</v>
      </c>
    </row>
    <row r="20" spans="1:3">
      <c r="A20" s="10" t="s">
        <v>44</v>
      </c>
      <c r="B20" s="7">
        <v>123420</v>
      </c>
      <c r="C20" s="8">
        <v>60</v>
      </c>
    </row>
    <row r="21" spans="1:3">
      <c r="A21" s="10" t="s">
        <v>45</v>
      </c>
      <c r="B21" s="7">
        <v>21251</v>
      </c>
      <c r="C21" s="8">
        <v>48</v>
      </c>
    </row>
    <row r="22" spans="1:3">
      <c r="A22" s="11" t="s">
        <v>46</v>
      </c>
      <c r="B22" s="7">
        <v>33521</v>
      </c>
      <c r="C22" s="8">
        <v>49</v>
      </c>
    </row>
    <row r="23" spans="1:3">
      <c r="A23" s="10" t="s">
        <v>47</v>
      </c>
      <c r="B23" s="7">
        <v>159807</v>
      </c>
      <c r="C23" s="8">
        <v>45</v>
      </c>
    </row>
    <row r="24" spans="1:3" ht="15.75" thickBot="1">
      <c r="A24" s="12" t="s">
        <v>48</v>
      </c>
      <c r="B24" s="24">
        <v>842</v>
      </c>
      <c r="C24" s="25">
        <v>78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9"/>
  <sheetViews>
    <sheetView topLeftCell="A13" workbookViewId="0">
      <selection activeCell="B23" sqref="B23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27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565847</v>
      </c>
      <c r="C5" s="6">
        <v>62</v>
      </c>
    </row>
    <row r="6" spans="1:3">
      <c r="A6" s="1" t="s">
        <v>30</v>
      </c>
      <c r="B6" s="7">
        <v>43377</v>
      </c>
      <c r="C6" s="8">
        <v>88</v>
      </c>
    </row>
    <row r="7" spans="1:3">
      <c r="A7" s="1" t="s">
        <v>31</v>
      </c>
      <c r="B7" s="23">
        <v>9299</v>
      </c>
      <c r="C7" s="8">
        <v>78</v>
      </c>
    </row>
    <row r="8" spans="1:3">
      <c r="A8" s="1" t="s">
        <v>32</v>
      </c>
      <c r="B8" s="7">
        <v>27883</v>
      </c>
      <c r="C8" s="8">
        <v>70</v>
      </c>
    </row>
    <row r="9" spans="1:3">
      <c r="A9" s="1" t="s">
        <v>33</v>
      </c>
      <c r="B9" s="7">
        <v>44645</v>
      </c>
      <c r="C9" s="8">
        <v>80</v>
      </c>
    </row>
    <row r="10" spans="1:3">
      <c r="A10" s="1" t="s">
        <v>34</v>
      </c>
      <c r="B10" s="7">
        <v>30050</v>
      </c>
      <c r="C10" s="8">
        <v>84</v>
      </c>
    </row>
    <row r="11" spans="1:3">
      <c r="A11" s="1" t="s">
        <v>35</v>
      </c>
      <c r="B11" s="7">
        <v>11718</v>
      </c>
      <c r="C11" s="8">
        <v>78</v>
      </c>
    </row>
    <row r="12" spans="1:3">
      <c r="A12" s="1" t="s">
        <v>36</v>
      </c>
      <c r="B12" s="7">
        <v>29019</v>
      </c>
      <c r="C12" s="8">
        <v>70</v>
      </c>
    </row>
    <row r="13" spans="1:3">
      <c r="A13" s="1" t="s">
        <v>37</v>
      </c>
      <c r="B13" s="7">
        <v>6186</v>
      </c>
      <c r="C13" s="8">
        <v>85</v>
      </c>
    </row>
    <row r="14" spans="1:3" ht="27">
      <c r="A14" s="1" t="s">
        <v>38</v>
      </c>
      <c r="B14" s="7">
        <v>22431</v>
      </c>
      <c r="C14" s="8">
        <v>66</v>
      </c>
    </row>
    <row r="15" spans="1:3">
      <c r="A15" s="1" t="s">
        <v>39</v>
      </c>
      <c r="B15" s="7">
        <v>2746</v>
      </c>
      <c r="C15" s="8">
        <v>61</v>
      </c>
    </row>
    <row r="16" spans="1:3" ht="27">
      <c r="A16" s="1" t="s">
        <v>40</v>
      </c>
      <c r="B16" s="7">
        <v>17363</v>
      </c>
      <c r="C16" s="8">
        <v>51</v>
      </c>
    </row>
    <row r="17" spans="1:3">
      <c r="A17" s="1" t="s">
        <v>41</v>
      </c>
      <c r="B17" s="7">
        <v>105715</v>
      </c>
      <c r="C17" s="8">
        <v>58</v>
      </c>
    </row>
    <row r="18" spans="1:3">
      <c r="A18" s="10" t="s">
        <v>42</v>
      </c>
      <c r="B18" s="7">
        <v>12641</v>
      </c>
      <c r="C18" s="8">
        <v>50</v>
      </c>
    </row>
    <row r="19" spans="1:3">
      <c r="A19" s="1" t="s">
        <v>43</v>
      </c>
      <c r="B19" s="7">
        <v>6165</v>
      </c>
      <c r="C19" s="8">
        <v>46</v>
      </c>
    </row>
    <row r="20" spans="1:3">
      <c r="A20" s="10" t="s">
        <v>44</v>
      </c>
      <c r="B20" s="7">
        <v>80867</v>
      </c>
      <c r="C20" s="8">
        <v>53</v>
      </c>
    </row>
    <row r="21" spans="1:3">
      <c r="A21" s="10" t="s">
        <v>45</v>
      </c>
      <c r="B21" s="7">
        <v>20869</v>
      </c>
      <c r="C21" s="8">
        <v>35</v>
      </c>
    </row>
    <row r="22" spans="1:3">
      <c r="A22" s="11" t="s">
        <v>46</v>
      </c>
      <c r="B22" s="7">
        <v>14363</v>
      </c>
      <c r="C22" s="8">
        <v>35</v>
      </c>
    </row>
    <row r="23" spans="1:3">
      <c r="A23" s="10" t="s">
        <v>47</v>
      </c>
      <c r="B23" s="7">
        <v>80496</v>
      </c>
      <c r="C23" s="8">
        <v>48</v>
      </c>
    </row>
    <row r="24" spans="1:3" ht="15.75" thickBot="1">
      <c r="A24" s="12" t="s">
        <v>48</v>
      </c>
      <c r="B24" s="24">
        <v>13</v>
      </c>
      <c r="C24" s="25">
        <v>60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27"/>
  <sheetViews>
    <sheetView workbookViewId="0">
      <selection activeCell="C15" sqref="C15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0" customHeight="1">
      <c r="A1" s="120" t="s">
        <v>1</v>
      </c>
      <c r="B1" s="143"/>
      <c r="C1" s="143"/>
    </row>
    <row r="2" spans="1:3" ht="41.25" customHeight="1" thickBot="1">
      <c r="A2" s="19"/>
      <c r="B2" s="20" t="s">
        <v>56</v>
      </c>
      <c r="C2" s="21" t="s">
        <v>28</v>
      </c>
    </row>
    <row r="3" spans="1:3">
      <c r="A3" s="140"/>
      <c r="B3" s="142" t="s">
        <v>4</v>
      </c>
      <c r="C3" s="13"/>
    </row>
    <row r="4" spans="1:3" ht="31.5">
      <c r="A4" s="141"/>
      <c r="B4" s="139"/>
      <c r="C4" s="14" t="s">
        <v>5</v>
      </c>
    </row>
    <row r="5" spans="1:3" ht="20.100000000000001" customHeight="1">
      <c r="A5" s="26" t="s">
        <v>29</v>
      </c>
      <c r="B5" s="5">
        <v>558754</v>
      </c>
      <c r="C5" s="6">
        <v>62</v>
      </c>
    </row>
    <row r="6" spans="1:3">
      <c r="A6" s="1" t="s">
        <v>30</v>
      </c>
      <c r="B6" s="7">
        <v>45512</v>
      </c>
      <c r="C6" s="8">
        <v>89</v>
      </c>
    </row>
    <row r="7" spans="1:3">
      <c r="A7" s="1" t="s">
        <v>31</v>
      </c>
      <c r="B7" s="7">
        <v>4141</v>
      </c>
      <c r="C7" s="8">
        <v>82</v>
      </c>
    </row>
    <row r="8" spans="1:3">
      <c r="A8" s="1" t="s">
        <v>32</v>
      </c>
      <c r="B8" s="7">
        <v>19573</v>
      </c>
      <c r="C8" s="8">
        <v>80</v>
      </c>
    </row>
    <row r="9" spans="1:3">
      <c r="A9" s="1" t="s">
        <v>33</v>
      </c>
      <c r="B9" s="7">
        <v>43378</v>
      </c>
      <c r="C9" s="8">
        <v>78</v>
      </c>
    </row>
    <row r="10" spans="1:3">
      <c r="A10" s="1" t="s">
        <v>34</v>
      </c>
      <c r="B10" s="7">
        <v>32805</v>
      </c>
      <c r="C10" s="8">
        <v>78</v>
      </c>
    </row>
    <row r="11" spans="1:3">
      <c r="A11" s="1" t="s">
        <v>35</v>
      </c>
      <c r="B11" s="7">
        <v>25218</v>
      </c>
      <c r="C11" s="8">
        <v>72</v>
      </c>
    </row>
    <row r="12" spans="1:3">
      <c r="A12" s="1" t="s">
        <v>36</v>
      </c>
      <c r="B12" s="7">
        <v>20832</v>
      </c>
      <c r="C12" s="8">
        <v>70</v>
      </c>
    </row>
    <row r="13" spans="1:3">
      <c r="A13" s="1" t="s">
        <v>37</v>
      </c>
      <c r="B13" s="7">
        <v>5953</v>
      </c>
      <c r="C13" s="8">
        <v>70</v>
      </c>
    </row>
    <row r="14" spans="1:3" ht="27">
      <c r="A14" s="1" t="s">
        <v>49</v>
      </c>
      <c r="B14" s="7">
        <v>4160</v>
      </c>
      <c r="C14" s="8">
        <v>68</v>
      </c>
    </row>
    <row r="15" spans="1:3">
      <c r="A15" s="1" t="s">
        <v>39</v>
      </c>
      <c r="B15" s="7">
        <v>2304</v>
      </c>
      <c r="C15" s="8">
        <v>66</v>
      </c>
    </row>
    <row r="16" spans="1:3">
      <c r="A16" s="1" t="s">
        <v>50</v>
      </c>
      <c r="B16" s="7">
        <v>9861</v>
      </c>
      <c r="C16" s="8">
        <v>60</v>
      </c>
    </row>
    <row r="17" spans="1:3">
      <c r="A17" s="1" t="s">
        <v>41</v>
      </c>
      <c r="B17" s="7">
        <v>125021</v>
      </c>
      <c r="C17" s="8">
        <v>58</v>
      </c>
    </row>
    <row r="18" spans="1:3">
      <c r="A18" s="10" t="s">
        <v>42</v>
      </c>
      <c r="B18" s="7">
        <v>21021</v>
      </c>
      <c r="C18" s="8">
        <v>56</v>
      </c>
    </row>
    <row r="19" spans="1:3">
      <c r="A19" s="1" t="s">
        <v>43</v>
      </c>
      <c r="B19" s="7">
        <v>4083</v>
      </c>
      <c r="C19" s="8">
        <v>55</v>
      </c>
    </row>
    <row r="20" spans="1:3">
      <c r="A20" s="10" t="s">
        <v>44</v>
      </c>
      <c r="B20" s="7">
        <v>99289</v>
      </c>
      <c r="C20" s="8">
        <v>55</v>
      </c>
    </row>
    <row r="21" spans="1:3">
      <c r="A21" s="10" t="s">
        <v>45</v>
      </c>
      <c r="B21" s="7">
        <v>7917</v>
      </c>
      <c r="C21" s="8">
        <v>52</v>
      </c>
    </row>
    <row r="22" spans="1:3">
      <c r="A22" s="11" t="s">
        <v>46</v>
      </c>
      <c r="B22" s="7">
        <v>14230</v>
      </c>
      <c r="C22" s="8">
        <v>48</v>
      </c>
    </row>
    <row r="23" spans="1:3">
      <c r="A23" s="10" t="s">
        <v>47</v>
      </c>
      <c r="B23" s="7">
        <v>73457</v>
      </c>
      <c r="C23" s="8">
        <v>36</v>
      </c>
    </row>
    <row r="24" spans="1:3" ht="15.75" thickBot="1">
      <c r="A24" s="12" t="s">
        <v>48</v>
      </c>
      <c r="B24" s="24" t="s">
        <v>0</v>
      </c>
      <c r="C24" s="25" t="s">
        <v>0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</sheetData>
  <mergeCells count="4">
    <mergeCell ref="A27:C27"/>
    <mergeCell ref="A1:C1"/>
    <mergeCell ref="A3:A4"/>
    <mergeCell ref="B3:B4"/>
  </mergeCells>
  <phoneticPr fontId="2" type="noConversion"/>
  <printOptions horizontalCentered="1"/>
  <pageMargins left="0.55118110236220474" right="0.55118110236220474" top="0.59055118110236227" bottom="0.98425196850393704" header="0.51181102362204722" footer="0.51181102362204722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27"/>
  <sheetViews>
    <sheetView workbookViewId="0">
      <selection activeCell="H21" sqref="H21"/>
    </sheetView>
  </sheetViews>
  <sheetFormatPr defaultColWidth="9" defaultRowHeight="15"/>
  <cols>
    <col min="1" max="1" width="80.625" style="3" customWidth="1"/>
    <col min="2" max="2" width="15.625" style="3" customWidth="1"/>
    <col min="3" max="3" width="19.875" style="3" customWidth="1"/>
    <col min="4" max="16384" width="9" style="3"/>
  </cols>
  <sheetData>
    <row r="1" spans="1:3" ht="44.25" customHeight="1">
      <c r="A1" s="120" t="s">
        <v>51</v>
      </c>
      <c r="B1" s="121"/>
      <c r="C1" s="121"/>
    </row>
    <row r="2" spans="1:3" ht="41.25" customHeight="1" thickBot="1">
      <c r="A2" s="19"/>
      <c r="B2" s="19" t="s">
        <v>52</v>
      </c>
      <c r="C2" s="27" t="s">
        <v>28</v>
      </c>
    </row>
    <row r="3" spans="1:3" ht="16.5" customHeight="1">
      <c r="A3" s="140"/>
      <c r="B3" s="142" t="s">
        <v>4</v>
      </c>
      <c r="C3" s="13"/>
    </row>
    <row r="4" spans="1:3" ht="46.5">
      <c r="A4" s="141"/>
      <c r="B4" s="139"/>
      <c r="C4" s="14" t="s">
        <v>5</v>
      </c>
    </row>
    <row r="5" spans="1:3" ht="20.100000000000001" customHeight="1">
      <c r="A5" s="2" t="s">
        <v>29</v>
      </c>
      <c r="B5" s="28">
        <v>515952</v>
      </c>
      <c r="C5" s="29">
        <v>59.86</v>
      </c>
    </row>
    <row r="6" spans="1:3">
      <c r="A6" s="1" t="s">
        <v>48</v>
      </c>
      <c r="B6" s="30">
        <v>1747</v>
      </c>
      <c r="C6" s="31">
        <v>66.63</v>
      </c>
    </row>
    <row r="7" spans="1:3">
      <c r="A7" s="1" t="s">
        <v>50</v>
      </c>
      <c r="B7" s="30">
        <v>11055</v>
      </c>
      <c r="C7" s="31">
        <v>58.87</v>
      </c>
    </row>
    <row r="8" spans="1:3">
      <c r="A8" s="1" t="s">
        <v>46</v>
      </c>
      <c r="B8" s="30">
        <v>19239</v>
      </c>
      <c r="C8" s="31">
        <v>51.61</v>
      </c>
    </row>
    <row r="9" spans="1:3">
      <c r="A9" s="1" t="s">
        <v>31</v>
      </c>
      <c r="B9" s="30">
        <v>9429</v>
      </c>
      <c r="C9" s="31">
        <v>79.55</v>
      </c>
    </row>
    <row r="10" spans="1:3">
      <c r="A10" s="1" t="s">
        <v>34</v>
      </c>
      <c r="B10" s="30">
        <v>46796</v>
      </c>
      <c r="C10" s="31">
        <v>80.239999999999995</v>
      </c>
    </row>
    <row r="11" spans="1:3">
      <c r="A11" s="1" t="s">
        <v>43</v>
      </c>
      <c r="B11" s="30">
        <v>4829</v>
      </c>
      <c r="C11" s="31">
        <v>52.31</v>
      </c>
    </row>
    <row r="12" spans="1:3">
      <c r="A12" s="1" t="s">
        <v>33</v>
      </c>
      <c r="B12" s="30">
        <v>40544</v>
      </c>
      <c r="C12" s="31">
        <v>80.28</v>
      </c>
    </row>
    <row r="13" spans="1:3">
      <c r="A13" s="1" t="s">
        <v>37</v>
      </c>
      <c r="B13" s="30">
        <v>2214</v>
      </c>
      <c r="C13" s="31">
        <v>74.12</v>
      </c>
    </row>
    <row r="14" spans="1:3">
      <c r="A14" s="1" t="s">
        <v>30</v>
      </c>
      <c r="B14" s="30">
        <v>15193</v>
      </c>
      <c r="C14" s="31">
        <v>80.19</v>
      </c>
    </row>
    <row r="15" spans="1:3">
      <c r="A15" s="1" t="s">
        <v>44</v>
      </c>
      <c r="B15" s="30">
        <v>119932</v>
      </c>
      <c r="C15" s="31">
        <v>51.78</v>
      </c>
    </row>
    <row r="16" spans="1:3">
      <c r="A16" s="1" t="s">
        <v>41</v>
      </c>
      <c r="B16" s="30">
        <v>51377</v>
      </c>
      <c r="C16" s="31">
        <v>58.07</v>
      </c>
    </row>
    <row r="17" spans="1:3">
      <c r="A17" s="1" t="s">
        <v>53</v>
      </c>
      <c r="B17" s="30">
        <v>13588</v>
      </c>
      <c r="C17" s="31">
        <v>76.319999999999993</v>
      </c>
    </row>
    <row r="18" spans="1:3">
      <c r="A18" s="1" t="s">
        <v>32</v>
      </c>
      <c r="B18" s="30">
        <v>21206</v>
      </c>
      <c r="C18" s="31">
        <v>64.62</v>
      </c>
    </row>
    <row r="19" spans="1:3">
      <c r="A19" s="1" t="s">
        <v>54</v>
      </c>
      <c r="B19" s="30">
        <v>16593</v>
      </c>
      <c r="C19" s="31">
        <v>63.38</v>
      </c>
    </row>
    <row r="20" spans="1:3" ht="27">
      <c r="A20" s="1" t="s">
        <v>38</v>
      </c>
      <c r="B20" s="30">
        <v>7605</v>
      </c>
      <c r="C20" s="31">
        <v>63.67</v>
      </c>
    </row>
    <row r="21" spans="1:3">
      <c r="A21" s="1" t="s">
        <v>45</v>
      </c>
      <c r="B21" s="30">
        <v>13221</v>
      </c>
      <c r="C21" s="31">
        <v>48.99</v>
      </c>
    </row>
    <row r="22" spans="1:3">
      <c r="A22" s="1" t="s">
        <v>39</v>
      </c>
      <c r="B22" s="30">
        <v>6374</v>
      </c>
      <c r="C22" s="31">
        <v>58.99</v>
      </c>
    </row>
    <row r="23" spans="1:3">
      <c r="A23" s="1" t="s">
        <v>47</v>
      </c>
      <c r="B23" s="30">
        <v>86545</v>
      </c>
      <c r="C23" s="32">
        <v>40.200000000000003</v>
      </c>
    </row>
    <row r="24" spans="1:3" ht="15.75" thickBot="1">
      <c r="A24" s="12" t="s">
        <v>55</v>
      </c>
      <c r="B24" s="33">
        <v>28461</v>
      </c>
      <c r="C24" s="34">
        <v>73.55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44" t="s">
        <v>24</v>
      </c>
      <c r="B27" s="144"/>
      <c r="C27" s="144"/>
    </row>
  </sheetData>
  <mergeCells count="4">
    <mergeCell ref="A27:C27"/>
    <mergeCell ref="A1:C1"/>
    <mergeCell ref="A3:A4"/>
    <mergeCell ref="B3:B4"/>
  </mergeCells>
  <phoneticPr fontId="2" type="noConversion"/>
  <printOptions horizontalCentered="1"/>
  <pageMargins left="0.55118110236220474" right="0.55118110236220474" top="0.59055118110236227" bottom="0.98425196850393704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9CDF-2357-4304-9F0C-4C4E36C0D30D}">
  <sheetPr>
    <pageSetUpPr fitToPage="1"/>
  </sheetPr>
  <dimension ref="A1:L39"/>
  <sheetViews>
    <sheetView tabSelected="1" topLeftCell="A7" workbookViewId="0">
      <selection activeCell="B18" sqref="B18"/>
    </sheetView>
  </sheetViews>
  <sheetFormatPr defaultColWidth="9" defaultRowHeight="15"/>
  <cols>
    <col min="1" max="1" width="80.625" style="3" customWidth="1"/>
    <col min="2" max="2" width="20.125" style="3" customWidth="1"/>
    <col min="3" max="3" width="30.625" style="3" customWidth="1"/>
    <col min="4" max="4" width="10.875" style="3" customWidth="1"/>
    <col min="5" max="5" width="11.625" style="3" customWidth="1"/>
    <col min="6" max="16384" width="9" style="3"/>
  </cols>
  <sheetData>
    <row r="1" spans="1:12" ht="62.25" customHeight="1" thickBot="1">
      <c r="A1" s="120" t="s">
        <v>1</v>
      </c>
      <c r="B1" s="121"/>
      <c r="C1" s="121"/>
    </row>
    <row r="2" spans="1:12" ht="39" customHeight="1" thickBot="1">
      <c r="A2" s="99"/>
      <c r="B2" s="100" t="s">
        <v>77</v>
      </c>
      <c r="C2" s="101" t="s">
        <v>28</v>
      </c>
    </row>
    <row r="3" spans="1:12">
      <c r="A3" s="133"/>
      <c r="B3" s="135" t="s">
        <v>4</v>
      </c>
      <c r="C3" s="71"/>
    </row>
    <row r="4" spans="1:12" ht="40.5" customHeight="1" thickBot="1">
      <c r="A4" s="134"/>
      <c r="B4" s="136"/>
      <c r="C4" s="84" t="s">
        <v>5</v>
      </c>
    </row>
    <row r="5" spans="1:12" ht="20.100000000000001" customHeight="1">
      <c r="A5" s="91" t="s">
        <v>29</v>
      </c>
      <c r="B5" s="92">
        <f>SUM(B6:B24)</f>
        <v>331066</v>
      </c>
      <c r="C5" s="110">
        <v>52</v>
      </c>
      <c r="E5" s="47"/>
    </row>
    <row r="6" spans="1:12">
      <c r="A6" s="145" t="s">
        <v>30</v>
      </c>
      <c r="B6" s="88">
        <f>3809+20275+4113+7454</f>
        <v>35651</v>
      </c>
      <c r="C6" s="107">
        <v>70.667246921544972</v>
      </c>
      <c r="E6" s="65"/>
    </row>
    <row r="7" spans="1:12">
      <c r="A7" s="145" t="s">
        <v>31</v>
      </c>
      <c r="B7" s="88">
        <f>1524+12+4908+270</f>
        <v>6714</v>
      </c>
      <c r="C7" s="107">
        <v>46.182680965147462</v>
      </c>
      <c r="E7" s="65"/>
    </row>
    <row r="8" spans="1:12">
      <c r="A8" s="145" t="s">
        <v>32</v>
      </c>
      <c r="B8" s="88">
        <f>1574+86+6780+647</f>
        <v>9087</v>
      </c>
      <c r="C8" s="107">
        <v>56.035584901507654</v>
      </c>
      <c r="E8" s="65"/>
    </row>
    <row r="9" spans="1:12">
      <c r="A9" s="145" t="s">
        <v>33</v>
      </c>
      <c r="B9" s="88">
        <f>783+133+2362+774</f>
        <v>4052</v>
      </c>
      <c r="C9" s="107">
        <v>44.875503455083908</v>
      </c>
      <c r="E9" s="65"/>
    </row>
    <row r="10" spans="1:12">
      <c r="A10" s="145" t="s">
        <v>34</v>
      </c>
      <c r="B10" s="102">
        <f>0+6516+875+0+6397+1278</f>
        <v>15066</v>
      </c>
      <c r="C10" s="107">
        <v>59.145746714456394</v>
      </c>
      <c r="E10" s="65"/>
    </row>
    <row r="11" spans="1:12">
      <c r="A11" s="145" t="s">
        <v>35</v>
      </c>
      <c r="B11" s="88">
        <f>828+3014+2884+4254</f>
        <v>10980</v>
      </c>
      <c r="C11" s="107">
        <v>52.285788706739531</v>
      </c>
      <c r="E11" s="65"/>
      <c r="K11" s="106"/>
      <c r="L11" s="106"/>
    </row>
    <row r="12" spans="1:12">
      <c r="A12" s="145" t="s">
        <v>36</v>
      </c>
      <c r="B12" s="88">
        <f>2120+4890</f>
        <v>7010</v>
      </c>
      <c r="C12" s="107">
        <v>33.99289586305278</v>
      </c>
      <c r="E12" s="65"/>
    </row>
    <row r="13" spans="1:12">
      <c r="A13" s="145" t="s">
        <v>37</v>
      </c>
      <c r="B13" s="88">
        <f>794+4128</f>
        <v>4922</v>
      </c>
      <c r="C13" s="107">
        <v>67.789796830556682</v>
      </c>
      <c r="E13" s="65"/>
    </row>
    <row r="14" spans="1:12" ht="27">
      <c r="A14" s="145" t="s">
        <v>38</v>
      </c>
      <c r="B14" s="88">
        <f>132+322+113+360+39+10+282+718</f>
        <v>1976</v>
      </c>
      <c r="C14" s="107">
        <v>64.25500000000001</v>
      </c>
      <c r="E14" s="65"/>
    </row>
    <row r="15" spans="1:12">
      <c r="A15" s="145" t="s">
        <v>39</v>
      </c>
      <c r="B15" s="88">
        <f>14186+7300</f>
        <v>21486</v>
      </c>
      <c r="C15" s="107">
        <v>43.308585125197808</v>
      </c>
      <c r="E15" s="65"/>
    </row>
    <row r="16" spans="1:12" ht="27">
      <c r="A16" s="145" t="s">
        <v>40</v>
      </c>
      <c r="B16" s="88">
        <f>2885+48+4617+1763</f>
        <v>9313</v>
      </c>
      <c r="C16" s="107">
        <v>49.085829485665201</v>
      </c>
      <c r="E16" s="65"/>
    </row>
    <row r="17" spans="1:5">
      <c r="A17" s="145" t="s">
        <v>41</v>
      </c>
      <c r="B17" s="88">
        <f>17954+16718</f>
        <v>34672</v>
      </c>
      <c r="C17" s="107">
        <v>46.053840562990302</v>
      </c>
      <c r="E17" s="65"/>
    </row>
    <row r="18" spans="1:5">
      <c r="A18" s="146" t="s">
        <v>42</v>
      </c>
      <c r="B18" s="89">
        <f>7251+20446</f>
        <v>27697</v>
      </c>
      <c r="C18" s="107">
        <v>46.002544318879309</v>
      </c>
      <c r="E18" s="65"/>
    </row>
    <row r="19" spans="1:5">
      <c r="A19" s="145" t="s">
        <v>43</v>
      </c>
      <c r="B19" s="88">
        <f>2587+4469</f>
        <v>7056</v>
      </c>
      <c r="C19" s="107">
        <v>42.160099206349209</v>
      </c>
      <c r="E19" s="65"/>
    </row>
    <row r="20" spans="1:5">
      <c r="A20" s="146" t="s">
        <v>44</v>
      </c>
      <c r="B20" s="89">
        <f>89847+26686</f>
        <v>116533</v>
      </c>
      <c r="C20" s="107">
        <v>55.53439163155501</v>
      </c>
      <c r="E20" s="65"/>
    </row>
    <row r="21" spans="1:5">
      <c r="A21" s="146" t="s">
        <v>45</v>
      </c>
      <c r="B21" s="89">
        <f>3187+11889</f>
        <v>15076</v>
      </c>
      <c r="C21" s="107">
        <v>30.544913770230835</v>
      </c>
      <c r="E21" s="65"/>
    </row>
    <row r="22" spans="1:5">
      <c r="A22" s="147" t="s">
        <v>46</v>
      </c>
      <c r="B22" s="90">
        <f>258+82+34+1546+1652+201</f>
        <v>3773</v>
      </c>
      <c r="C22" s="107">
        <v>40.594089583885498</v>
      </c>
      <c r="E22" s="65"/>
    </row>
    <row r="23" spans="1:5">
      <c r="A23" s="146" t="s">
        <v>47</v>
      </c>
      <c r="B23" s="89" t="s">
        <v>69</v>
      </c>
      <c r="C23" s="107">
        <v>0</v>
      </c>
      <c r="E23" s="38"/>
    </row>
    <row r="24" spans="1:5" ht="15.75" thickBot="1">
      <c r="A24" s="148" t="s">
        <v>48</v>
      </c>
      <c r="B24" s="97">
        <f>1+1</f>
        <v>2</v>
      </c>
      <c r="C24" s="108">
        <v>50</v>
      </c>
      <c r="E24" s="65"/>
    </row>
    <row r="25" spans="1:5" ht="24" customHeight="1">
      <c r="E25" s="109"/>
    </row>
    <row r="26" spans="1:5" ht="16.5">
      <c r="A26" s="105" t="s">
        <v>81</v>
      </c>
    </row>
    <row r="27" spans="1:5" ht="50.1" customHeight="1">
      <c r="A27" s="137" t="s">
        <v>78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82BE5-E5AB-41C4-93CB-880382C58682}">
  <dimension ref="A1:L39"/>
  <sheetViews>
    <sheetView topLeftCell="A4" workbookViewId="0">
      <selection activeCell="G27" sqref="G27"/>
    </sheetView>
  </sheetViews>
  <sheetFormatPr defaultColWidth="9" defaultRowHeight="15"/>
  <cols>
    <col min="1" max="1" width="80.625" style="3" customWidth="1"/>
    <col min="2" max="2" width="20.125" style="3" customWidth="1"/>
    <col min="3" max="3" width="30.625" style="3" customWidth="1"/>
    <col min="4" max="4" width="10.875" style="3" customWidth="1"/>
    <col min="5" max="5" width="11.625" style="3" customWidth="1"/>
    <col min="6" max="16384" width="9" style="3"/>
  </cols>
  <sheetData>
    <row r="1" spans="1:12" ht="62.25" customHeight="1" thickBot="1">
      <c r="A1" s="120" t="s">
        <v>1</v>
      </c>
      <c r="B1" s="121"/>
      <c r="C1" s="121"/>
    </row>
    <row r="2" spans="1:12" ht="39" customHeight="1" thickBot="1">
      <c r="A2" s="99"/>
      <c r="B2" s="100" t="s">
        <v>79</v>
      </c>
      <c r="C2" s="101" t="s">
        <v>28</v>
      </c>
    </row>
    <row r="3" spans="1:12">
      <c r="A3" s="133"/>
      <c r="B3" s="135" t="s">
        <v>4</v>
      </c>
      <c r="C3" s="71"/>
    </row>
    <row r="4" spans="1:12" ht="40.5" customHeight="1" thickBot="1">
      <c r="A4" s="134"/>
      <c r="B4" s="136"/>
      <c r="C4" s="84" t="s">
        <v>5</v>
      </c>
    </row>
    <row r="5" spans="1:12" ht="20.100000000000001" customHeight="1">
      <c r="A5" s="91" t="s">
        <v>29</v>
      </c>
      <c r="B5" s="92">
        <f>SUM(B6:B24)</f>
        <v>407090</v>
      </c>
      <c r="C5" s="86">
        <v>68</v>
      </c>
      <c r="E5" s="47"/>
    </row>
    <row r="6" spans="1:12">
      <c r="A6" s="93" t="s">
        <v>30</v>
      </c>
      <c r="B6" s="88">
        <f>4606+6994+11261+22318</f>
        <v>45179</v>
      </c>
      <c r="C6" s="87">
        <v>61</v>
      </c>
      <c r="E6" s="65"/>
    </row>
    <row r="7" spans="1:12">
      <c r="A7" s="93" t="s">
        <v>31</v>
      </c>
      <c r="B7" s="88">
        <f>1576+30+5296+393</f>
        <v>7295</v>
      </c>
      <c r="C7" s="87">
        <v>62</v>
      </c>
      <c r="E7" s="65"/>
    </row>
    <row r="8" spans="1:12">
      <c r="A8" s="93" t="s">
        <v>32</v>
      </c>
      <c r="B8" s="88">
        <f>4371+1301+12920+2250</f>
        <v>20842</v>
      </c>
      <c r="C8" s="87">
        <v>61</v>
      </c>
      <c r="E8" s="65"/>
    </row>
    <row r="9" spans="1:12">
      <c r="A9" s="93" t="s">
        <v>33</v>
      </c>
      <c r="B9" s="88">
        <f>1905+1133+2521+2879</f>
        <v>8438</v>
      </c>
      <c r="C9" s="87">
        <v>51</v>
      </c>
      <c r="E9" s="65"/>
    </row>
    <row r="10" spans="1:12">
      <c r="A10" s="93" t="s">
        <v>34</v>
      </c>
      <c r="B10" s="102">
        <f>33+6018+1173+327+7503+1958</f>
        <v>17012</v>
      </c>
      <c r="C10" s="87">
        <v>64</v>
      </c>
      <c r="E10" s="65"/>
    </row>
    <row r="11" spans="1:12">
      <c r="A11" s="93" t="s">
        <v>35</v>
      </c>
      <c r="B11" s="88">
        <f>858+7183+3097+6052</f>
        <v>17190</v>
      </c>
      <c r="C11" s="87">
        <v>60</v>
      </c>
      <c r="E11" s="65"/>
      <c r="K11" s="106"/>
      <c r="L11" s="106"/>
    </row>
    <row r="12" spans="1:12">
      <c r="A12" s="93" t="s">
        <v>36</v>
      </c>
      <c r="B12" s="88">
        <f>1968+11051</f>
        <v>13019</v>
      </c>
      <c r="C12" s="87">
        <v>40</v>
      </c>
      <c r="E12" s="65"/>
    </row>
    <row r="13" spans="1:12">
      <c r="A13" s="93" t="s">
        <v>37</v>
      </c>
      <c r="B13" s="88">
        <f>2116+2424</f>
        <v>4540</v>
      </c>
      <c r="C13" s="87">
        <v>66</v>
      </c>
      <c r="E13" s="65"/>
    </row>
    <row r="14" spans="1:12" ht="27">
      <c r="A14" s="93" t="s">
        <v>38</v>
      </c>
      <c r="B14" s="88">
        <f>403+230+322+10+153+1365+717+1805</f>
        <v>5005</v>
      </c>
      <c r="C14" s="87">
        <v>61</v>
      </c>
      <c r="E14" s="65"/>
    </row>
    <row r="15" spans="1:12">
      <c r="A15" s="93" t="s">
        <v>39</v>
      </c>
      <c r="B15" s="88">
        <f>14269+8652</f>
        <v>22921</v>
      </c>
      <c r="C15" s="87">
        <v>49</v>
      </c>
      <c r="E15" s="65"/>
    </row>
    <row r="16" spans="1:12" ht="27">
      <c r="A16" s="93" t="s">
        <v>40</v>
      </c>
      <c r="B16" s="88">
        <f>1992+192+3744+70</f>
        <v>5998</v>
      </c>
      <c r="C16" s="87">
        <v>50</v>
      </c>
      <c r="E16" s="65"/>
    </row>
    <row r="17" spans="1:5">
      <c r="A17" s="93" t="s">
        <v>41</v>
      </c>
      <c r="B17" s="88">
        <f>25273+20343</f>
        <v>45616</v>
      </c>
      <c r="C17" s="87">
        <v>56</v>
      </c>
      <c r="E17" s="65"/>
    </row>
    <row r="18" spans="1:5">
      <c r="A18" s="94" t="s">
        <v>42</v>
      </c>
      <c r="B18" s="89">
        <f>5095+11665</f>
        <v>16760</v>
      </c>
      <c r="C18" s="87">
        <v>50</v>
      </c>
      <c r="E18" s="38"/>
    </row>
    <row r="19" spans="1:5">
      <c r="A19" s="93" t="s">
        <v>43</v>
      </c>
      <c r="B19" s="88">
        <f>2539+4165</f>
        <v>6704</v>
      </c>
      <c r="C19" s="87">
        <v>42</v>
      </c>
      <c r="E19" s="65"/>
    </row>
    <row r="20" spans="1:5">
      <c r="A20" s="94" t="s">
        <v>44</v>
      </c>
      <c r="B20" s="89">
        <f>93499+43686</f>
        <v>137185</v>
      </c>
      <c r="C20" s="87">
        <v>58</v>
      </c>
      <c r="E20" s="38"/>
    </row>
    <row r="21" spans="1:5">
      <c r="A21" s="94" t="s">
        <v>45</v>
      </c>
      <c r="B21" s="89">
        <f>2100+9952</f>
        <v>12052</v>
      </c>
      <c r="C21" s="87">
        <v>36</v>
      </c>
      <c r="E21" s="38"/>
    </row>
    <row r="22" spans="1:5">
      <c r="A22" s="95" t="s">
        <v>46</v>
      </c>
      <c r="B22" s="90">
        <f>4922+435+11867+3895</f>
        <v>21119</v>
      </c>
      <c r="C22" s="87">
        <v>47</v>
      </c>
      <c r="E22" s="66"/>
    </row>
    <row r="23" spans="1:5">
      <c r="A23" s="94" t="s">
        <v>47</v>
      </c>
      <c r="B23" s="89" t="s">
        <v>69</v>
      </c>
      <c r="C23" s="87" t="s">
        <v>69</v>
      </c>
      <c r="E23" s="38"/>
    </row>
    <row r="24" spans="1:5" ht="15.75" thickBot="1">
      <c r="A24" s="96" t="s">
        <v>48</v>
      </c>
      <c r="B24" s="97">
        <f>3+0+208+4</f>
        <v>215</v>
      </c>
      <c r="C24" s="98">
        <v>19</v>
      </c>
      <c r="E24" s="67"/>
    </row>
    <row r="25" spans="1:5" ht="24" customHeight="1"/>
    <row r="26" spans="1:5" ht="16.5">
      <c r="A26" s="9" t="s">
        <v>23</v>
      </c>
    </row>
    <row r="27" spans="1:5" ht="50.1" customHeight="1">
      <c r="A27" s="137" t="s">
        <v>78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>
      <selection activeCell="B6" sqref="B6"/>
    </sheetView>
  </sheetViews>
  <sheetFormatPr defaultColWidth="9" defaultRowHeight="15"/>
  <cols>
    <col min="1" max="1" width="80.625" style="3" customWidth="1"/>
    <col min="2" max="2" width="20.125" style="3" customWidth="1"/>
    <col min="3" max="3" width="30.625" style="3" customWidth="1"/>
    <col min="4" max="4" width="10.875" style="3" customWidth="1"/>
    <col min="5" max="5" width="11.625" style="3" customWidth="1"/>
    <col min="6" max="16384" width="9" style="3"/>
  </cols>
  <sheetData>
    <row r="1" spans="1:12" ht="62.25" customHeight="1" thickBot="1">
      <c r="A1" s="120" t="s">
        <v>1</v>
      </c>
      <c r="B1" s="121"/>
      <c r="C1" s="121"/>
    </row>
    <row r="2" spans="1:12" ht="39" customHeight="1" thickBot="1">
      <c r="A2" s="99"/>
      <c r="B2" s="100" t="s">
        <v>75</v>
      </c>
      <c r="C2" s="101" t="s">
        <v>28</v>
      </c>
    </row>
    <row r="3" spans="1:12">
      <c r="A3" s="133"/>
      <c r="B3" s="135" t="s">
        <v>4</v>
      </c>
      <c r="C3" s="71"/>
    </row>
    <row r="4" spans="1:12" ht="40.5" customHeight="1" thickBot="1">
      <c r="A4" s="134"/>
      <c r="B4" s="136"/>
      <c r="C4" s="84" t="s">
        <v>5</v>
      </c>
    </row>
    <row r="5" spans="1:12" ht="20.100000000000001" customHeight="1">
      <c r="A5" s="91" t="s">
        <v>29</v>
      </c>
      <c r="B5" s="92">
        <f>SUM(B6:B24)</f>
        <v>350251</v>
      </c>
      <c r="C5" s="86">
        <v>63</v>
      </c>
      <c r="E5" s="47"/>
    </row>
    <row r="6" spans="1:12">
      <c r="A6" s="93" t="s">
        <v>30</v>
      </c>
      <c r="B6" s="88">
        <f>7113+5202+6360+20405</f>
        <v>39080</v>
      </c>
      <c r="C6" s="87">
        <v>89</v>
      </c>
      <c r="E6" s="65"/>
    </row>
    <row r="7" spans="1:12">
      <c r="A7" s="93" t="s">
        <v>31</v>
      </c>
      <c r="B7" s="88">
        <f>1597+4728</f>
        <v>6325</v>
      </c>
      <c r="C7" s="87">
        <v>82</v>
      </c>
      <c r="E7" s="65"/>
    </row>
    <row r="8" spans="1:12">
      <c r="A8" s="93" t="s">
        <v>32</v>
      </c>
      <c r="B8" s="88">
        <f>1768+2893+8670+4032</f>
        <v>17363</v>
      </c>
      <c r="C8" s="87">
        <v>60</v>
      </c>
      <c r="E8" s="65"/>
    </row>
    <row r="9" spans="1:12">
      <c r="A9" s="93" t="s">
        <v>33</v>
      </c>
      <c r="B9" s="88">
        <f>790+1144+2983+3654</f>
        <v>8571</v>
      </c>
      <c r="C9" s="87">
        <v>70</v>
      </c>
      <c r="E9" s="65"/>
    </row>
    <row r="10" spans="1:12">
      <c r="A10" s="93" t="s">
        <v>34</v>
      </c>
      <c r="B10" s="88">
        <f>36+7142+1607+402+22097+1834</f>
        <v>33118</v>
      </c>
      <c r="C10" s="87">
        <v>70</v>
      </c>
      <c r="E10" s="65"/>
    </row>
    <row r="11" spans="1:12">
      <c r="A11" s="93" t="s">
        <v>35</v>
      </c>
      <c r="B11" s="88">
        <f>514+7945+6094+2442</f>
        <v>16995</v>
      </c>
      <c r="C11" s="87">
        <v>77</v>
      </c>
      <c r="E11" s="65"/>
      <c r="L11" s="85"/>
    </row>
    <row r="12" spans="1:12">
      <c r="A12" s="93" t="s">
        <v>36</v>
      </c>
      <c r="B12" s="88">
        <f>2909+2999</f>
        <v>5908</v>
      </c>
      <c r="C12" s="87">
        <v>71</v>
      </c>
      <c r="E12" s="65"/>
    </row>
    <row r="13" spans="1:12">
      <c r="A13" s="93" t="s">
        <v>37</v>
      </c>
      <c r="B13" s="88">
        <f>663+2941</f>
        <v>3604</v>
      </c>
      <c r="C13" s="87">
        <v>66</v>
      </c>
      <c r="E13" s="65"/>
    </row>
    <row r="14" spans="1:12" ht="27">
      <c r="A14" s="93" t="s">
        <v>38</v>
      </c>
      <c r="B14" s="88">
        <f>337+215+1288+639</f>
        <v>2479</v>
      </c>
      <c r="C14" s="87">
        <v>78</v>
      </c>
      <c r="E14" s="65"/>
    </row>
    <row r="15" spans="1:12">
      <c r="A15" s="93" t="s">
        <v>39</v>
      </c>
      <c r="B15" s="88">
        <f>13392+8091</f>
        <v>21483</v>
      </c>
      <c r="C15" s="87">
        <v>70</v>
      </c>
      <c r="E15" s="65"/>
    </row>
    <row r="16" spans="1:12" ht="27">
      <c r="A16" s="93" t="s">
        <v>40</v>
      </c>
      <c r="B16" s="88">
        <f>1415+155+100+4225</f>
        <v>5895</v>
      </c>
      <c r="C16" s="87">
        <v>54</v>
      </c>
      <c r="E16" s="65"/>
    </row>
    <row r="17" spans="1:5">
      <c r="A17" s="93" t="s">
        <v>41</v>
      </c>
      <c r="B17" s="88">
        <f>18246+19367</f>
        <v>37613</v>
      </c>
      <c r="C17" s="87">
        <v>59</v>
      </c>
      <c r="E17" s="65"/>
    </row>
    <row r="18" spans="1:5">
      <c r="A18" s="94" t="s">
        <v>42</v>
      </c>
      <c r="B18" s="89">
        <f>6123+9776</f>
        <v>15899</v>
      </c>
      <c r="C18" s="87">
        <v>53</v>
      </c>
      <c r="E18" s="38"/>
    </row>
    <row r="19" spans="1:5">
      <c r="A19" s="93" t="s">
        <v>43</v>
      </c>
      <c r="B19" s="88">
        <f>2084+2487</f>
        <v>4571</v>
      </c>
      <c r="C19" s="87">
        <v>50</v>
      </c>
      <c r="E19" s="65"/>
    </row>
    <row r="20" spans="1:5">
      <c r="A20" s="94" t="s">
        <v>44</v>
      </c>
      <c r="B20" s="89">
        <f>52683+53363</f>
        <v>106046</v>
      </c>
      <c r="C20" s="87">
        <v>52</v>
      </c>
      <c r="E20" s="38"/>
    </row>
    <row r="21" spans="1:5">
      <c r="A21" s="94" t="s">
        <v>45</v>
      </c>
      <c r="B21" s="89">
        <f>1762+7119</f>
        <v>8881</v>
      </c>
      <c r="C21" s="87">
        <v>50</v>
      </c>
      <c r="E21" s="38"/>
    </row>
    <row r="22" spans="1:5">
      <c r="A22" s="95" t="s">
        <v>46</v>
      </c>
      <c r="B22" s="90">
        <f>7646+74+1869+6518</f>
        <v>16107</v>
      </c>
      <c r="C22" s="87">
        <v>57.999999999999993</v>
      </c>
      <c r="E22" s="66"/>
    </row>
    <row r="23" spans="1:5">
      <c r="A23" s="94" t="s">
        <v>47</v>
      </c>
      <c r="B23" s="89" t="s">
        <v>69</v>
      </c>
      <c r="C23" s="87" t="s">
        <v>69</v>
      </c>
      <c r="E23" s="38"/>
    </row>
    <row r="24" spans="1:5" ht="15.75" thickBot="1">
      <c r="A24" s="96" t="s">
        <v>48</v>
      </c>
      <c r="B24" s="97">
        <f>27+5+273+8</f>
        <v>313</v>
      </c>
      <c r="C24" s="98">
        <v>27</v>
      </c>
      <c r="E24" s="67"/>
    </row>
    <row r="25" spans="1:5" ht="5.0999999999999996" customHeight="1"/>
    <row r="26" spans="1:5" ht="16.5">
      <c r="A26" s="9" t="s">
        <v>23</v>
      </c>
    </row>
    <row r="27" spans="1:5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B18 B20: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topLeftCell="A4" workbookViewId="0">
      <selection activeCell="C6" sqref="C6"/>
    </sheetView>
  </sheetViews>
  <sheetFormatPr defaultColWidth="9" defaultRowHeight="15"/>
  <cols>
    <col min="1" max="1" width="80.625" style="3" customWidth="1"/>
    <col min="2" max="2" width="20.125" style="3" customWidth="1"/>
    <col min="3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68"/>
      <c r="B2" s="69" t="s">
        <v>72</v>
      </c>
      <c r="C2" s="70" t="s">
        <v>28</v>
      </c>
    </row>
    <row r="3" spans="1:3">
      <c r="A3" s="133"/>
      <c r="B3" s="135" t="s">
        <v>4</v>
      </c>
      <c r="C3" s="71"/>
    </row>
    <row r="4" spans="1:3" ht="40.5" customHeight="1">
      <c r="A4" s="138"/>
      <c r="B4" s="139"/>
      <c r="C4" s="72" t="s">
        <v>5</v>
      </c>
    </row>
    <row r="5" spans="1:3" ht="20.100000000000001" customHeight="1">
      <c r="A5" s="73" t="s">
        <v>29</v>
      </c>
      <c r="B5" s="36">
        <f>SUM(B6:B24)</f>
        <v>317763</v>
      </c>
      <c r="C5" s="74">
        <v>55.32</v>
      </c>
    </row>
    <row r="6" spans="1:3">
      <c r="A6" s="75" t="s">
        <v>30</v>
      </c>
      <c r="B6" s="65">
        <f>18737+6491+5114+4617</f>
        <v>34959</v>
      </c>
      <c r="C6" s="76">
        <v>88</v>
      </c>
    </row>
    <row r="7" spans="1:3">
      <c r="A7" s="75" t="s">
        <v>31</v>
      </c>
      <c r="B7" s="65">
        <f>4610+1611+257+194</f>
        <v>6672</v>
      </c>
      <c r="C7" s="76">
        <v>82</v>
      </c>
    </row>
    <row r="8" spans="1:3">
      <c r="A8" s="75" t="s">
        <v>32</v>
      </c>
      <c r="B8" s="65">
        <f>2932+4088+1812+4531+7015+4126</f>
        <v>24504</v>
      </c>
      <c r="C8" s="76">
        <v>64</v>
      </c>
    </row>
    <row r="9" spans="1:3">
      <c r="A9" s="75" t="s">
        <v>33</v>
      </c>
      <c r="B9" s="65">
        <f>2251+2026</f>
        <v>4277</v>
      </c>
      <c r="C9" s="76">
        <v>70</v>
      </c>
    </row>
    <row r="10" spans="1:3">
      <c r="A10" s="75" t="s">
        <v>34</v>
      </c>
      <c r="B10" s="65">
        <f>27+8466+1223+2531+20395+397</f>
        <v>33039</v>
      </c>
      <c r="C10" s="76">
        <v>73</v>
      </c>
    </row>
    <row r="11" spans="1:3">
      <c r="A11" s="75" t="s">
        <v>35</v>
      </c>
      <c r="B11" s="65">
        <f>4531+4126</f>
        <v>8657</v>
      </c>
      <c r="C11" s="76">
        <v>75</v>
      </c>
    </row>
    <row r="12" spans="1:3">
      <c r="A12" s="75" t="s">
        <v>36</v>
      </c>
      <c r="B12" s="65">
        <f>2342+4927</f>
        <v>7269</v>
      </c>
      <c r="C12" s="76">
        <v>60</v>
      </c>
    </row>
    <row r="13" spans="1:3">
      <c r="A13" s="75" t="s">
        <v>37</v>
      </c>
      <c r="B13" s="65">
        <f>1351+2315</f>
        <v>3666</v>
      </c>
      <c r="C13" s="76">
        <v>65</v>
      </c>
    </row>
    <row r="14" spans="1:3" ht="27">
      <c r="A14" s="75" t="s">
        <v>38</v>
      </c>
      <c r="B14" s="65">
        <f>332+213+1118+587+1211+1784</f>
        <v>5245</v>
      </c>
      <c r="C14" s="76">
        <v>63</v>
      </c>
    </row>
    <row r="15" spans="1:3">
      <c r="A15" s="75" t="s">
        <v>39</v>
      </c>
      <c r="B15" s="65">
        <f>13065+9446</f>
        <v>22511</v>
      </c>
      <c r="C15" s="76">
        <v>69</v>
      </c>
    </row>
    <row r="16" spans="1:3" ht="27">
      <c r="A16" s="75" t="s">
        <v>40</v>
      </c>
      <c r="B16" s="65">
        <f>162+93</f>
        <v>255</v>
      </c>
      <c r="C16" s="76">
        <v>50</v>
      </c>
    </row>
    <row r="17" spans="1:3">
      <c r="A17" s="75" t="s">
        <v>41</v>
      </c>
      <c r="B17" s="65">
        <f>14565+15535</f>
        <v>30100</v>
      </c>
      <c r="C17" s="76">
        <v>58</v>
      </c>
    </row>
    <row r="18" spans="1:3">
      <c r="A18" s="77" t="s">
        <v>42</v>
      </c>
      <c r="B18" s="38">
        <f>5070+11363</f>
        <v>16433</v>
      </c>
      <c r="C18" s="76">
        <v>53</v>
      </c>
    </row>
    <row r="19" spans="1:3">
      <c r="A19" s="75" t="s">
        <v>43</v>
      </c>
      <c r="B19" s="65">
        <f>2324+3852</f>
        <v>6176</v>
      </c>
      <c r="C19" s="76">
        <v>52</v>
      </c>
    </row>
    <row r="20" spans="1:3">
      <c r="A20" s="77" t="s">
        <v>44</v>
      </c>
      <c r="B20" s="38">
        <f>43705+44009</f>
        <v>87714</v>
      </c>
      <c r="C20" s="76">
        <v>51</v>
      </c>
    </row>
    <row r="21" spans="1:3">
      <c r="A21" s="77" t="s">
        <v>45</v>
      </c>
      <c r="B21" s="38">
        <f>2580+14143</f>
        <v>16723</v>
      </c>
      <c r="C21" s="76">
        <v>46</v>
      </c>
    </row>
    <row r="22" spans="1:3">
      <c r="A22" s="78" t="s">
        <v>46</v>
      </c>
      <c r="B22" s="66">
        <f>3130+6192</f>
        <v>9322</v>
      </c>
      <c r="C22" s="76">
        <v>62</v>
      </c>
    </row>
    <row r="23" spans="1:3">
      <c r="A23" s="77" t="s">
        <v>47</v>
      </c>
      <c r="B23" s="38" t="s">
        <v>69</v>
      </c>
      <c r="C23" s="76" t="s">
        <v>69</v>
      </c>
    </row>
    <row r="24" spans="1:3" ht="15.75" thickBot="1">
      <c r="A24" s="79" t="s">
        <v>48</v>
      </c>
      <c r="B24" s="67">
        <f>13+6+214+8</f>
        <v>241</v>
      </c>
      <c r="C24" s="80">
        <v>22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9"/>
  <sheetViews>
    <sheetView topLeftCell="A7" workbookViewId="0">
      <selection activeCell="C15" sqref="C15:C16"/>
    </sheetView>
  </sheetViews>
  <sheetFormatPr defaultColWidth="9" defaultRowHeight="15"/>
  <cols>
    <col min="1" max="1" width="80.625" style="3" customWidth="1"/>
    <col min="2" max="2" width="20.125" style="3" customWidth="1"/>
    <col min="3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68"/>
      <c r="B2" s="69" t="s">
        <v>71</v>
      </c>
      <c r="C2" s="70" t="s">
        <v>28</v>
      </c>
    </row>
    <row r="3" spans="1:3">
      <c r="A3" s="133"/>
      <c r="B3" s="135" t="s">
        <v>4</v>
      </c>
      <c r="C3" s="71"/>
    </row>
    <row r="4" spans="1:3" ht="40.5" customHeight="1">
      <c r="A4" s="138"/>
      <c r="B4" s="139"/>
      <c r="C4" s="72" t="s">
        <v>5</v>
      </c>
    </row>
    <row r="5" spans="1:3" ht="20.100000000000001" customHeight="1">
      <c r="A5" s="73" t="s">
        <v>29</v>
      </c>
      <c r="B5" s="36">
        <v>449730</v>
      </c>
      <c r="C5" s="74">
        <v>56</v>
      </c>
    </row>
    <row r="6" spans="1:3">
      <c r="A6" s="75" t="s">
        <v>30</v>
      </c>
      <c r="B6" s="65">
        <f>5798+11783</f>
        <v>17581</v>
      </c>
      <c r="C6" s="76">
        <v>82.588303281952108</v>
      </c>
    </row>
    <row r="7" spans="1:3">
      <c r="A7" s="75" t="s">
        <v>31</v>
      </c>
      <c r="B7" s="65">
        <f>696+11771</f>
        <v>12467</v>
      </c>
      <c r="C7" s="76">
        <v>81.347818240154027</v>
      </c>
    </row>
    <row r="8" spans="1:3">
      <c r="A8" s="75" t="s">
        <v>32</v>
      </c>
      <c r="B8" s="65">
        <f>9434+4882</f>
        <v>14316</v>
      </c>
      <c r="C8" s="76">
        <v>54.026581447331658</v>
      </c>
    </row>
    <row r="9" spans="1:3">
      <c r="A9" s="75" t="s">
        <v>33</v>
      </c>
      <c r="B9" s="65">
        <f>3407+4124</f>
        <v>7531</v>
      </c>
      <c r="C9" s="76">
        <v>75.020735626078874</v>
      </c>
    </row>
    <row r="10" spans="1:3">
      <c r="A10" s="75" t="s">
        <v>34</v>
      </c>
      <c r="B10" s="65">
        <f>655+38578+3352</f>
        <v>42585</v>
      </c>
      <c r="C10" s="76">
        <v>74.490804508629793</v>
      </c>
    </row>
    <row r="11" spans="1:3">
      <c r="A11" s="75" t="s">
        <v>35</v>
      </c>
      <c r="B11" s="65">
        <f>4040+12893</f>
        <v>16933</v>
      </c>
      <c r="C11" s="76">
        <v>69.518527136360959</v>
      </c>
    </row>
    <row r="12" spans="1:3">
      <c r="A12" s="75" t="s">
        <v>36</v>
      </c>
      <c r="B12" s="65">
        <v>112994</v>
      </c>
      <c r="C12" s="76">
        <v>39.376700975273017</v>
      </c>
    </row>
    <row r="13" spans="1:3">
      <c r="A13" s="75" t="s">
        <v>37</v>
      </c>
      <c r="B13" s="65">
        <v>3436</v>
      </c>
      <c r="C13" s="76">
        <v>73</v>
      </c>
    </row>
    <row r="14" spans="1:3" ht="27">
      <c r="A14" s="75" t="s">
        <v>38</v>
      </c>
      <c r="B14" s="65">
        <f>654+38+1264+2566</f>
        <v>4522</v>
      </c>
      <c r="C14" s="76">
        <v>65.668872180451132</v>
      </c>
    </row>
    <row r="15" spans="1:3">
      <c r="A15" s="75" t="s">
        <v>39</v>
      </c>
      <c r="B15" s="65">
        <v>23037</v>
      </c>
      <c r="C15" s="76">
        <v>71</v>
      </c>
    </row>
    <row r="16" spans="1:3" ht="27">
      <c r="A16" s="75" t="s">
        <v>40</v>
      </c>
      <c r="B16" s="65">
        <v>5016</v>
      </c>
      <c r="C16" s="76">
        <v>56</v>
      </c>
    </row>
    <row r="17" spans="1:3">
      <c r="A17" s="75" t="s">
        <v>41</v>
      </c>
      <c r="B17" s="65">
        <v>39768</v>
      </c>
      <c r="C17" s="76">
        <v>62</v>
      </c>
    </row>
    <row r="18" spans="1:3">
      <c r="A18" s="77" t="s">
        <v>42</v>
      </c>
      <c r="B18" s="38">
        <v>18617</v>
      </c>
      <c r="C18" s="76">
        <v>51</v>
      </c>
    </row>
    <row r="19" spans="1:3">
      <c r="A19" s="75" t="s">
        <v>43</v>
      </c>
      <c r="B19" s="65">
        <v>6288</v>
      </c>
      <c r="C19" s="76">
        <v>48</v>
      </c>
    </row>
    <row r="20" spans="1:3">
      <c r="A20" s="77" t="s">
        <v>44</v>
      </c>
      <c r="B20" s="38">
        <v>97979</v>
      </c>
      <c r="C20" s="76">
        <v>53</v>
      </c>
    </row>
    <row r="21" spans="1:3">
      <c r="A21" s="77" t="s">
        <v>45</v>
      </c>
      <c r="B21" s="38">
        <v>13419</v>
      </c>
      <c r="C21" s="76">
        <v>49</v>
      </c>
    </row>
    <row r="22" spans="1:3">
      <c r="A22" s="78" t="s">
        <v>46</v>
      </c>
      <c r="B22" s="66">
        <v>13217</v>
      </c>
      <c r="C22" s="76">
        <v>53.911419384126503</v>
      </c>
    </row>
    <row r="23" spans="1:3">
      <c r="A23" s="77" t="s">
        <v>47</v>
      </c>
      <c r="B23" s="38" t="s">
        <v>69</v>
      </c>
      <c r="C23" s="76" t="s">
        <v>69</v>
      </c>
    </row>
    <row r="24" spans="1:3" ht="15.75" thickBot="1">
      <c r="A24" s="79" t="s">
        <v>48</v>
      </c>
      <c r="B24" s="67">
        <v>24</v>
      </c>
      <c r="C24" s="80">
        <v>87.669166666666669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"/>
  <sheetViews>
    <sheetView topLeftCell="A7" workbookViewId="0">
      <selection activeCell="C6" sqref="C6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66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386856</v>
      </c>
      <c r="C5" s="48">
        <v>57.25</v>
      </c>
    </row>
    <row r="6" spans="1:3">
      <c r="A6" s="1" t="s">
        <v>30</v>
      </c>
      <c r="B6" s="7">
        <v>13920</v>
      </c>
      <c r="C6" s="49">
        <v>79.614280890804594</v>
      </c>
    </row>
    <row r="7" spans="1:3">
      <c r="A7" s="1" t="s">
        <v>31</v>
      </c>
      <c r="B7" s="23">
        <v>13392</v>
      </c>
      <c r="C7" s="49">
        <v>81.446236559139791</v>
      </c>
    </row>
    <row r="8" spans="1:3">
      <c r="A8" s="1" t="s">
        <v>32</v>
      </c>
      <c r="B8" s="7">
        <v>12486</v>
      </c>
      <c r="C8" s="49">
        <v>45.176441614608365</v>
      </c>
    </row>
    <row r="9" spans="1:3">
      <c r="A9" s="1" t="s">
        <v>33</v>
      </c>
      <c r="B9" s="7">
        <v>4716</v>
      </c>
      <c r="C9" s="49">
        <v>69.80911789652248</v>
      </c>
    </row>
    <row r="10" spans="1:3">
      <c r="A10" s="1" t="s">
        <v>34</v>
      </c>
      <c r="B10" s="7">
        <v>40128</v>
      </c>
      <c r="C10" s="49">
        <v>73.724987041467287</v>
      </c>
    </row>
    <row r="11" spans="1:3">
      <c r="A11" s="1" t="s">
        <v>35</v>
      </c>
      <c r="B11" s="7">
        <v>9725</v>
      </c>
      <c r="C11" s="49">
        <v>77.891499228791773</v>
      </c>
    </row>
    <row r="12" spans="1:3">
      <c r="A12" s="1" t="s">
        <v>36</v>
      </c>
      <c r="B12" s="7">
        <v>103744</v>
      </c>
      <c r="C12" s="49">
        <v>38.802177860888342</v>
      </c>
    </row>
    <row r="13" spans="1:3">
      <c r="A13" s="1" t="s">
        <v>37</v>
      </c>
      <c r="B13" s="7">
        <v>1588</v>
      </c>
      <c r="C13" s="49">
        <v>69.58</v>
      </c>
    </row>
    <row r="14" spans="1:3" ht="27">
      <c r="A14" s="1" t="s">
        <v>38</v>
      </c>
      <c r="B14" s="7">
        <v>3571</v>
      </c>
      <c r="C14" s="49">
        <v>66.048347801736213</v>
      </c>
    </row>
    <row r="15" spans="1:3">
      <c r="A15" s="1" t="s">
        <v>39</v>
      </c>
      <c r="B15" s="7">
        <v>23358</v>
      </c>
      <c r="C15" s="49">
        <v>71.47</v>
      </c>
    </row>
    <row r="16" spans="1:3" ht="27">
      <c r="A16" s="1" t="s">
        <v>40</v>
      </c>
      <c r="B16" s="7">
        <v>4188</v>
      </c>
      <c r="C16" s="49">
        <v>58.39</v>
      </c>
    </row>
    <row r="17" spans="1:3">
      <c r="A17" s="1" t="s">
        <v>41</v>
      </c>
      <c r="B17" s="7">
        <v>47222</v>
      </c>
      <c r="C17" s="49">
        <v>69.709999999999994</v>
      </c>
    </row>
    <row r="18" spans="1:3">
      <c r="A18" s="10" t="s">
        <v>42</v>
      </c>
      <c r="B18" s="7">
        <v>17205</v>
      </c>
      <c r="C18" s="49">
        <v>54.19</v>
      </c>
    </row>
    <row r="19" spans="1:3">
      <c r="A19" s="1" t="s">
        <v>43</v>
      </c>
      <c r="B19" s="7">
        <v>3285</v>
      </c>
      <c r="C19" s="49">
        <v>40.380000000000003</v>
      </c>
    </row>
    <row r="20" spans="1:3">
      <c r="A20" s="10" t="s">
        <v>44</v>
      </c>
      <c r="B20" s="7">
        <v>71809</v>
      </c>
      <c r="C20" s="49">
        <v>54.4</v>
      </c>
    </row>
    <row r="21" spans="1:3">
      <c r="A21" s="10" t="s">
        <v>45</v>
      </c>
      <c r="B21" s="7">
        <v>11200</v>
      </c>
      <c r="C21" s="49">
        <v>48.28</v>
      </c>
    </row>
    <row r="22" spans="1:3">
      <c r="A22" s="11" t="s">
        <v>46</v>
      </c>
      <c r="B22" s="7">
        <v>4845</v>
      </c>
      <c r="C22" s="49">
        <v>42.674464396284826</v>
      </c>
    </row>
    <row r="23" spans="1:3">
      <c r="A23" s="10" t="s">
        <v>47</v>
      </c>
      <c r="B23" s="49">
        <v>0</v>
      </c>
      <c r="C23" s="49">
        <v>0</v>
      </c>
    </row>
    <row r="24" spans="1:3" ht="15.75" thickBot="1">
      <c r="A24" s="12" t="s">
        <v>48</v>
      </c>
      <c r="B24" s="24">
        <v>474</v>
      </c>
      <c r="C24" s="50">
        <v>90.51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9"/>
  <sheetViews>
    <sheetView topLeftCell="A10" workbookViewId="0">
      <selection activeCell="C9" sqref="C9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65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524660</v>
      </c>
      <c r="C5" s="48">
        <v>56.69</v>
      </c>
    </row>
    <row r="6" spans="1:3">
      <c r="A6" s="1" t="s">
        <v>30</v>
      </c>
      <c r="B6" s="7">
        <v>22659</v>
      </c>
      <c r="C6" s="49">
        <v>79.797749238713109</v>
      </c>
    </row>
    <row r="7" spans="1:3">
      <c r="A7" s="1" t="s">
        <v>31</v>
      </c>
      <c r="B7" s="23">
        <v>13667</v>
      </c>
      <c r="C7" s="49">
        <v>80.555058901002411</v>
      </c>
    </row>
    <row r="8" spans="1:3">
      <c r="A8" s="1" t="s">
        <v>32</v>
      </c>
      <c r="B8" s="7">
        <v>16941</v>
      </c>
      <c r="C8" s="49">
        <v>51.262838675402868</v>
      </c>
    </row>
    <row r="9" spans="1:3">
      <c r="A9" s="1" t="s">
        <v>33</v>
      </c>
      <c r="B9" s="7">
        <v>5828</v>
      </c>
      <c r="C9" s="49">
        <v>67.811664378860669</v>
      </c>
    </row>
    <row r="10" spans="1:3">
      <c r="A10" s="1" t="s">
        <v>34</v>
      </c>
      <c r="B10" s="7">
        <v>45768</v>
      </c>
      <c r="C10" s="49">
        <v>76.993749126026913</v>
      </c>
    </row>
    <row r="11" spans="1:3">
      <c r="A11" s="1" t="s">
        <v>35</v>
      </c>
      <c r="B11" s="7">
        <v>14421</v>
      </c>
      <c r="C11" s="49">
        <v>77.023012273767407</v>
      </c>
    </row>
    <row r="12" spans="1:3">
      <c r="A12" s="1" t="s">
        <v>36</v>
      </c>
      <c r="B12" s="7">
        <v>166429</v>
      </c>
      <c r="C12" s="49">
        <v>40.914472297496232</v>
      </c>
    </row>
    <row r="13" spans="1:3">
      <c r="A13" s="1" t="s">
        <v>37</v>
      </c>
      <c r="B13" s="7">
        <v>2342</v>
      </c>
      <c r="C13" s="49">
        <v>66.739999999999995</v>
      </c>
    </row>
    <row r="14" spans="1:3" ht="27">
      <c r="A14" s="1" t="s">
        <v>38</v>
      </c>
      <c r="B14" s="7">
        <v>7781</v>
      </c>
      <c r="C14" s="49">
        <v>67.837519599023267</v>
      </c>
    </row>
    <row r="15" spans="1:3">
      <c r="A15" s="1" t="s">
        <v>39</v>
      </c>
      <c r="B15" s="7">
        <v>23849</v>
      </c>
      <c r="C15" s="49">
        <v>70.88</v>
      </c>
    </row>
    <row r="16" spans="1:3" ht="27">
      <c r="A16" s="1" t="s">
        <v>40</v>
      </c>
      <c r="B16" s="7">
        <v>6538</v>
      </c>
      <c r="C16" s="49">
        <v>55.6</v>
      </c>
    </row>
    <row r="17" spans="1:3">
      <c r="A17" s="1" t="s">
        <v>41</v>
      </c>
      <c r="B17" s="7">
        <v>53640</v>
      </c>
      <c r="C17" s="49">
        <v>64.400000000000006</v>
      </c>
    </row>
    <row r="18" spans="1:3">
      <c r="A18" s="10" t="s">
        <v>42</v>
      </c>
      <c r="B18" s="7">
        <v>24513</v>
      </c>
      <c r="C18" s="49">
        <v>57.614374005629671</v>
      </c>
    </row>
    <row r="19" spans="1:3">
      <c r="A19" s="1" t="s">
        <v>43</v>
      </c>
      <c r="B19" s="7">
        <v>4459</v>
      </c>
      <c r="C19" s="49">
        <v>51.18</v>
      </c>
    </row>
    <row r="20" spans="1:3">
      <c r="A20" s="10" t="s">
        <v>44</v>
      </c>
      <c r="B20" s="7">
        <v>86336</v>
      </c>
      <c r="C20" s="49">
        <v>55.59</v>
      </c>
    </row>
    <row r="21" spans="1:3">
      <c r="A21" s="10" t="s">
        <v>45</v>
      </c>
      <c r="B21" s="7">
        <v>13851</v>
      </c>
      <c r="C21" s="49">
        <v>55.61</v>
      </c>
    </row>
    <row r="22" spans="1:3">
      <c r="A22" s="11" t="s">
        <v>46</v>
      </c>
      <c r="B22" s="7">
        <v>15015</v>
      </c>
      <c r="C22" s="49">
        <v>46.373610389610391</v>
      </c>
    </row>
    <row r="23" spans="1:3">
      <c r="A23" s="10" t="s">
        <v>47</v>
      </c>
      <c r="B23" s="7" t="s">
        <v>0</v>
      </c>
      <c r="C23" s="49" t="s">
        <v>0</v>
      </c>
    </row>
    <row r="24" spans="1:3" ht="15.75" thickBot="1">
      <c r="A24" s="12" t="s">
        <v>48</v>
      </c>
      <c r="B24" s="24">
        <v>623</v>
      </c>
      <c r="C24" s="50">
        <v>45.673595505617975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9"/>
  <sheetViews>
    <sheetView topLeftCell="A19" workbookViewId="0">
      <selection activeCell="C19" sqref="C19"/>
    </sheetView>
  </sheetViews>
  <sheetFormatPr defaultColWidth="9" defaultRowHeight="15"/>
  <cols>
    <col min="1" max="1" width="80.625" style="3" customWidth="1"/>
    <col min="2" max="3" width="30.625" style="3" customWidth="1"/>
    <col min="4" max="16384" width="9" style="3"/>
  </cols>
  <sheetData>
    <row r="1" spans="1:3" ht="62.25" customHeight="1">
      <c r="A1" s="120" t="s">
        <v>1</v>
      </c>
      <c r="B1" s="121"/>
      <c r="C1" s="121"/>
    </row>
    <row r="2" spans="1:3" ht="39" customHeight="1" thickBot="1">
      <c r="A2" s="19"/>
      <c r="B2" s="20" t="s">
        <v>62</v>
      </c>
      <c r="C2" s="21" t="s">
        <v>28</v>
      </c>
    </row>
    <row r="3" spans="1:3">
      <c r="A3" s="140"/>
      <c r="B3" s="142" t="s">
        <v>4</v>
      </c>
      <c r="C3" s="15"/>
    </row>
    <row r="4" spans="1:3" ht="40.5" customHeight="1">
      <c r="A4" s="141"/>
      <c r="B4" s="139"/>
      <c r="C4" s="4" t="s">
        <v>5</v>
      </c>
    </row>
    <row r="5" spans="1:3" ht="20.100000000000001" customHeight="1">
      <c r="A5" s="22" t="s">
        <v>29</v>
      </c>
      <c r="B5" s="5">
        <v>502413</v>
      </c>
      <c r="C5" s="48">
        <v>57</v>
      </c>
    </row>
    <row r="6" spans="1:3">
      <c r="A6" s="1" t="s">
        <v>30</v>
      </c>
      <c r="B6" s="7">
        <v>17931</v>
      </c>
      <c r="C6" s="49">
        <v>81.218950421058494</v>
      </c>
    </row>
    <row r="7" spans="1:3">
      <c r="A7" s="1" t="s">
        <v>31</v>
      </c>
      <c r="B7" s="23">
        <v>10269</v>
      </c>
      <c r="C7" s="49">
        <v>80.230499561787923</v>
      </c>
    </row>
    <row r="8" spans="1:3">
      <c r="A8" s="1" t="s">
        <v>32</v>
      </c>
      <c r="B8" s="7">
        <v>16870</v>
      </c>
      <c r="C8" s="49">
        <v>54.404860699466504</v>
      </c>
    </row>
    <row r="9" spans="1:3">
      <c r="A9" s="1" t="s">
        <v>33</v>
      </c>
      <c r="B9" s="7">
        <v>6328</v>
      </c>
      <c r="C9" s="49">
        <v>68.571586599241456</v>
      </c>
    </row>
    <row r="10" spans="1:3">
      <c r="A10" s="1" t="s">
        <v>34</v>
      </c>
      <c r="B10" s="7">
        <v>38467</v>
      </c>
      <c r="C10" s="49">
        <v>80.901344009150705</v>
      </c>
    </row>
    <row r="11" spans="1:3">
      <c r="A11" s="1" t="s">
        <v>35</v>
      </c>
      <c r="B11" s="7">
        <v>29193</v>
      </c>
      <c r="C11" s="49">
        <v>73.067618949748223</v>
      </c>
    </row>
    <row r="12" spans="1:3">
      <c r="A12" s="1" t="s">
        <v>36</v>
      </c>
      <c r="B12" s="7">
        <v>127826</v>
      </c>
      <c r="C12" s="49">
        <v>43.025198472924131</v>
      </c>
    </row>
    <row r="13" spans="1:3">
      <c r="A13" s="1" t="s">
        <v>37</v>
      </c>
      <c r="B13" s="7">
        <v>5252</v>
      </c>
      <c r="C13" s="49">
        <v>66</v>
      </c>
    </row>
    <row r="14" spans="1:3" ht="27">
      <c r="A14" s="1" t="s">
        <v>38</v>
      </c>
      <c r="B14" s="7">
        <v>5846</v>
      </c>
      <c r="C14" s="49">
        <v>67.179267875470401</v>
      </c>
    </row>
    <row r="15" spans="1:3">
      <c r="A15" s="1" t="s">
        <v>39</v>
      </c>
      <c r="B15" s="7">
        <v>1842</v>
      </c>
      <c r="C15" s="49">
        <v>69</v>
      </c>
    </row>
    <row r="16" spans="1:3" ht="27">
      <c r="A16" s="1" t="s">
        <v>40</v>
      </c>
      <c r="B16" s="7">
        <v>8666</v>
      </c>
      <c r="C16" s="49">
        <v>64.680244634202637</v>
      </c>
    </row>
    <row r="17" spans="1:3">
      <c r="A17" s="1" t="s">
        <v>41</v>
      </c>
      <c r="B17" s="7">
        <v>36538</v>
      </c>
      <c r="C17" s="49">
        <v>62</v>
      </c>
    </row>
    <row r="18" spans="1:3">
      <c r="A18" s="10" t="s">
        <v>42</v>
      </c>
      <c r="B18" s="7">
        <v>17910</v>
      </c>
      <c r="C18" s="49">
        <v>53.999999999999993</v>
      </c>
    </row>
    <row r="19" spans="1:3">
      <c r="A19" s="1" t="s">
        <v>43</v>
      </c>
      <c r="B19" s="7">
        <v>4797</v>
      </c>
      <c r="C19" s="49">
        <v>58</v>
      </c>
    </row>
    <row r="20" spans="1:3">
      <c r="A20" s="10" t="s">
        <v>44</v>
      </c>
      <c r="B20" s="7">
        <v>136159</v>
      </c>
      <c r="C20" s="49">
        <v>55.999999999999993</v>
      </c>
    </row>
    <row r="21" spans="1:3">
      <c r="A21" s="10" t="s">
        <v>45</v>
      </c>
      <c r="B21" s="7">
        <v>22402</v>
      </c>
      <c r="C21" s="49">
        <v>45</v>
      </c>
    </row>
    <row r="22" spans="1:3">
      <c r="A22" s="11" t="s">
        <v>46</v>
      </c>
      <c r="B22" s="7">
        <v>15385</v>
      </c>
      <c r="C22" s="49">
        <v>46.897562560935974</v>
      </c>
    </row>
    <row r="23" spans="1:3">
      <c r="A23" s="10" t="s">
        <v>47</v>
      </c>
      <c r="B23" s="7">
        <v>1294</v>
      </c>
      <c r="C23" s="49">
        <v>53</v>
      </c>
    </row>
    <row r="24" spans="1:3" ht="15.75" thickBot="1">
      <c r="A24" s="12" t="s">
        <v>48</v>
      </c>
      <c r="B24" s="24">
        <v>708</v>
      </c>
      <c r="C24" s="50">
        <v>48.161016949152533</v>
      </c>
    </row>
    <row r="25" spans="1:3" ht="5.0999999999999996" customHeight="1"/>
    <row r="26" spans="1:3" ht="16.5">
      <c r="A26" s="9" t="s">
        <v>23</v>
      </c>
    </row>
    <row r="27" spans="1:3" ht="50.1" customHeight="1">
      <c r="A27" s="129" t="s">
        <v>24</v>
      </c>
      <c r="B27" s="130"/>
      <c r="C27" s="130"/>
    </row>
    <row r="39" spans="2:2">
      <c r="B39" s="46"/>
    </row>
  </sheetData>
  <mergeCells count="4">
    <mergeCell ref="A1:C1"/>
    <mergeCell ref="A3:A4"/>
    <mergeCell ref="B3:B4"/>
    <mergeCell ref="A27:C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5</vt:i4>
      </vt:variant>
    </vt:vector>
  </HeadingPairs>
  <TitlesOfParts>
    <vt:vector size="19" baseType="lpstr">
      <vt:lpstr>各年度依時間序列</vt:lpstr>
      <vt:lpstr>112年</vt:lpstr>
      <vt:lpstr>111年</vt:lpstr>
      <vt:lpstr>110年</vt:lpstr>
      <vt:lpstr>109年</vt:lpstr>
      <vt:lpstr>108年 </vt:lpstr>
      <vt:lpstr>107年</vt:lpstr>
      <vt:lpstr>106年</vt:lpstr>
      <vt:lpstr>105年</vt:lpstr>
      <vt:lpstr>104年</vt:lpstr>
      <vt:lpstr>103年</vt:lpstr>
      <vt:lpstr>101年</vt:lpstr>
      <vt:lpstr>100年</vt:lpstr>
      <vt:lpstr>99年</vt:lpstr>
      <vt:lpstr>'100年'!_Toc280858573</vt:lpstr>
      <vt:lpstr>'99年'!_Toc280858573</vt:lpstr>
      <vt:lpstr>'100年'!Print_Area</vt:lpstr>
      <vt:lpstr>'99年'!Print_Area</vt:lpstr>
      <vt:lpstr>各年度依時間序列!Print_Area</vt:lpstr>
    </vt:vector>
  </TitlesOfParts>
  <Company>Ministry of Economic Affairs,R.O.C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wcwei</dc:creator>
  <cp:lastModifiedBy>jzyou</cp:lastModifiedBy>
  <cp:lastPrinted>2024-05-27T07:07:29Z</cp:lastPrinted>
  <dcterms:created xsi:type="dcterms:W3CDTF">2011-09-20T08:14:27Z</dcterms:created>
  <dcterms:modified xsi:type="dcterms:W3CDTF">2024-05-27T07:07:31Z</dcterms:modified>
</cp:coreProperties>
</file>